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57" activeTab="12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DB15" i="2" l="1"/>
  <c r="BS110" i="10" l="1"/>
  <c r="BR110" i="10"/>
  <c r="BS109" i="10"/>
  <c r="BR109" i="10"/>
  <c r="BS108" i="10"/>
  <c r="BR108" i="10"/>
  <c r="BS107" i="10"/>
  <c r="BR107" i="10"/>
  <c r="BS106" i="10"/>
  <c r="BR106" i="10"/>
  <c r="BS88" i="10"/>
  <c r="BR88" i="10"/>
  <c r="BS87" i="10"/>
  <c r="BR87" i="10"/>
  <c r="BS86" i="10"/>
  <c r="BR86" i="10"/>
  <c r="BS85" i="10"/>
  <c r="BR85" i="10"/>
  <c r="BS84" i="10"/>
  <c r="BR84" i="10"/>
  <c r="BS77" i="10"/>
  <c r="BR77" i="10"/>
  <c r="BS76" i="10"/>
  <c r="BR76" i="10"/>
  <c r="BS75" i="10"/>
  <c r="BR75" i="10"/>
  <c r="BS74" i="10"/>
  <c r="BR74" i="10"/>
  <c r="BS73" i="10"/>
  <c r="BR73" i="10"/>
  <c r="BS66" i="10"/>
  <c r="BR66" i="10"/>
  <c r="BS65" i="10"/>
  <c r="BR65" i="10"/>
  <c r="BS64" i="10"/>
  <c r="BR64" i="10"/>
  <c r="BS63" i="10"/>
  <c r="BR63" i="10"/>
  <c r="BS62" i="10"/>
  <c r="BR62" i="10"/>
  <c r="BS55" i="10"/>
  <c r="BR55" i="10"/>
  <c r="BS54" i="10"/>
  <c r="BR54" i="10"/>
  <c r="BS53" i="10"/>
  <c r="BR53" i="10"/>
  <c r="BS52" i="10"/>
  <c r="BR52" i="10"/>
  <c r="BS51" i="10"/>
  <c r="BR51" i="10"/>
  <c r="BS44" i="10"/>
  <c r="BR44" i="10"/>
  <c r="BS43" i="10"/>
  <c r="BR43" i="10"/>
  <c r="BS42" i="10"/>
  <c r="BR42" i="10"/>
  <c r="BS41" i="10"/>
  <c r="BR41" i="10"/>
  <c r="BS40" i="10"/>
  <c r="BR40" i="10"/>
  <c r="BS33" i="10"/>
  <c r="BR33" i="10"/>
  <c r="BS32" i="10"/>
  <c r="BR32" i="10"/>
  <c r="BS31" i="10"/>
  <c r="BR31" i="10"/>
  <c r="BS30" i="10"/>
  <c r="BR30" i="10"/>
  <c r="BS29" i="10"/>
  <c r="BR29" i="10"/>
  <c r="BS22" i="10"/>
  <c r="BR22" i="10"/>
  <c r="BS21" i="10"/>
  <c r="BR21" i="10"/>
  <c r="BS20" i="10"/>
  <c r="BR20" i="10"/>
  <c r="BS19" i="10"/>
  <c r="BR19" i="10"/>
  <c r="BS18" i="10"/>
  <c r="BR18" i="10"/>
  <c r="BS11" i="10"/>
  <c r="BR11" i="10"/>
  <c r="BS10" i="10"/>
  <c r="BR10" i="10"/>
  <c r="BS9" i="10"/>
  <c r="BR9" i="10"/>
  <c r="BS8" i="10"/>
  <c r="BR8" i="10"/>
  <c r="BS7" i="10"/>
  <c r="BR7" i="10"/>
  <c r="AH7" i="8"/>
  <c r="Q15" i="1" l="1"/>
  <c r="Q13" i="1"/>
  <c r="Q7" i="1"/>
  <c r="AU14" i="1" l="1"/>
  <c r="AU15" i="1" s="1"/>
  <c r="AT14" i="1"/>
  <c r="AU12" i="1"/>
  <c r="AT12" i="1"/>
  <c r="AU11" i="1"/>
  <c r="AT11" i="1"/>
  <c r="AU10" i="1"/>
  <c r="AT10" i="1"/>
  <c r="AU9" i="1"/>
  <c r="AT9" i="1"/>
  <c r="AU8" i="1"/>
  <c r="AU7" i="1" s="1"/>
  <c r="AT8" i="1"/>
  <c r="AU6" i="1"/>
  <c r="AT6" i="1"/>
  <c r="AU5" i="1"/>
  <c r="AT5" i="1"/>
  <c r="AU13" i="1"/>
  <c r="X7" i="13"/>
  <c r="X10" i="15"/>
  <c r="DJ9" i="2"/>
  <c r="DI9" i="2"/>
  <c r="AK25" i="11" l="1"/>
  <c r="AK24" i="11"/>
  <c r="AK22" i="11"/>
  <c r="AJ25" i="11"/>
  <c r="AJ24" i="11"/>
  <c r="AJ22" i="11"/>
  <c r="AK34" i="10"/>
  <c r="AK30" i="10"/>
  <c r="AK33" i="10"/>
  <c r="AK32" i="10"/>
  <c r="AK28" i="10"/>
  <c r="AJ34" i="10" l="1"/>
  <c r="AJ30" i="10"/>
  <c r="AJ33" i="10"/>
  <c r="AJ32" i="10"/>
  <c r="AJ28" i="10"/>
  <c r="AK28" i="9"/>
  <c r="AK27" i="9"/>
  <c r="AK26" i="9"/>
  <c r="AK24" i="9"/>
  <c r="AJ28" i="9"/>
  <c r="AJ27" i="9"/>
  <c r="AJ26" i="9"/>
  <c r="AJ24" i="9"/>
  <c r="S7" i="8"/>
  <c r="AJ23" i="7"/>
  <c r="AJ25" i="7" s="1"/>
  <c r="AJ21" i="7"/>
  <c r="AJ15" i="7"/>
  <c r="AK14" i="1"/>
  <c r="AK12" i="1"/>
  <c r="AK11" i="1"/>
  <c r="AK10" i="1"/>
  <c r="AK9" i="1"/>
  <c r="AK8" i="1"/>
  <c r="AK6" i="1"/>
  <c r="AK5" i="1"/>
  <c r="AJ14" i="1"/>
  <c r="AJ12" i="1"/>
  <c r="AJ11" i="1"/>
  <c r="AJ10" i="1"/>
  <c r="AJ9" i="1"/>
  <c r="AJ8" i="1"/>
  <c r="AJ6" i="1"/>
  <c r="AJ5" i="1" l="1"/>
  <c r="AK15" i="1" l="1"/>
  <c r="AK13" i="1"/>
  <c r="AK7" i="1"/>
  <c r="F34" i="14"/>
  <c r="F18" i="14"/>
  <c r="E18" i="14"/>
  <c r="C13" i="8"/>
  <c r="E12" i="6"/>
  <c r="C34" i="14"/>
  <c r="B34" i="14"/>
  <c r="B7" i="8" l="1"/>
  <c r="CR19" i="14" l="1"/>
  <c r="CQ19" i="14"/>
  <c r="AG7" i="8"/>
  <c r="BL24" i="7"/>
  <c r="BM24" i="7"/>
  <c r="BS18" i="12" l="1"/>
  <c r="BR18" i="12"/>
  <c r="BS17" i="12"/>
  <c r="BR17" i="12"/>
  <c r="BS16" i="12"/>
  <c r="BR16" i="12"/>
  <c r="BS14" i="12"/>
  <c r="BR14" i="12"/>
  <c r="BS13" i="12"/>
  <c r="BR13" i="12"/>
  <c r="BS12" i="12"/>
  <c r="BR12" i="12"/>
  <c r="BS11" i="12"/>
  <c r="BR11" i="12"/>
  <c r="BS10" i="12"/>
  <c r="BR10" i="12"/>
  <c r="BS9" i="12"/>
  <c r="BR9" i="12"/>
  <c r="BS8" i="12"/>
  <c r="BR8" i="12"/>
  <c r="BS7" i="12"/>
  <c r="BR7" i="12"/>
  <c r="BS6" i="12"/>
  <c r="BR6" i="12"/>
  <c r="BS5" i="12"/>
  <c r="BR5" i="12"/>
  <c r="BS81" i="11"/>
  <c r="BR81" i="11"/>
  <c r="BS80" i="11"/>
  <c r="BR80" i="11"/>
  <c r="BS79" i="11"/>
  <c r="BR79" i="11"/>
  <c r="BS78" i="11"/>
  <c r="BR78" i="11"/>
  <c r="BS65" i="11"/>
  <c r="BR65" i="11"/>
  <c r="BS64" i="11"/>
  <c r="BR64" i="11"/>
  <c r="BS63" i="11"/>
  <c r="BR63" i="11"/>
  <c r="BS62" i="11"/>
  <c r="BR62" i="11"/>
  <c r="BS57" i="11"/>
  <c r="BR57" i="11"/>
  <c r="BS56" i="11"/>
  <c r="BR56" i="11"/>
  <c r="BS55" i="11"/>
  <c r="BR55" i="11"/>
  <c r="BS54" i="11"/>
  <c r="BR54" i="11"/>
  <c r="BS49" i="11"/>
  <c r="BR49" i="11"/>
  <c r="BS48" i="11"/>
  <c r="BR48" i="11"/>
  <c r="BS47" i="11"/>
  <c r="BR47" i="11"/>
  <c r="BS46" i="11"/>
  <c r="BR46" i="11"/>
  <c r="BS41" i="11"/>
  <c r="BR41" i="11"/>
  <c r="BS40" i="11"/>
  <c r="BR40" i="11"/>
  <c r="BS39" i="11"/>
  <c r="BR39" i="11"/>
  <c r="BS38" i="11"/>
  <c r="BR38" i="11"/>
  <c r="BS33" i="11"/>
  <c r="BR33" i="11"/>
  <c r="BS32" i="11"/>
  <c r="BR32" i="11"/>
  <c r="BS31" i="11"/>
  <c r="BR31" i="11"/>
  <c r="BS30" i="11"/>
  <c r="BR30" i="11"/>
  <c r="BS25" i="11"/>
  <c r="BR25" i="11"/>
  <c r="BS24" i="11"/>
  <c r="BR24" i="11"/>
  <c r="BS23" i="11"/>
  <c r="BR23" i="11"/>
  <c r="BS22" i="11"/>
  <c r="BR22" i="11"/>
  <c r="BS17" i="11"/>
  <c r="BR17" i="11"/>
  <c r="BS16" i="11"/>
  <c r="BR16" i="11"/>
  <c r="BS15" i="11"/>
  <c r="BR15" i="11"/>
  <c r="BS14" i="11"/>
  <c r="BR14" i="11"/>
  <c r="BS9" i="11"/>
  <c r="BR9" i="11"/>
  <c r="BS8" i="11"/>
  <c r="BR8" i="11"/>
  <c r="BS7" i="11"/>
  <c r="BR7" i="11"/>
  <c r="BS6" i="11"/>
  <c r="BR6" i="11"/>
  <c r="BS6" i="10"/>
  <c r="BR6" i="10"/>
  <c r="BS12" i="10"/>
  <c r="BR12" i="10"/>
  <c r="BS17" i="10"/>
  <c r="BR17" i="10"/>
  <c r="BS23" i="10"/>
  <c r="BR23" i="10"/>
  <c r="BS28" i="10"/>
  <c r="BR28" i="10"/>
  <c r="BS34" i="10"/>
  <c r="BR34" i="10"/>
  <c r="BS39" i="10"/>
  <c r="BR39" i="10"/>
  <c r="BS45" i="10"/>
  <c r="BR45" i="10"/>
  <c r="BS50" i="10"/>
  <c r="BR50" i="10"/>
  <c r="BS56" i="10"/>
  <c r="BR56" i="10"/>
  <c r="BS61" i="10"/>
  <c r="BR61" i="10"/>
  <c r="BS67" i="10"/>
  <c r="BR67" i="10"/>
  <c r="BS72" i="10"/>
  <c r="BR72" i="10"/>
  <c r="BS78" i="10"/>
  <c r="BR78" i="10"/>
  <c r="BS83" i="10"/>
  <c r="BR83" i="10"/>
  <c r="BS89" i="10"/>
  <c r="BR89" i="10"/>
  <c r="BS105" i="10"/>
  <c r="BR105" i="10"/>
  <c r="BS111" i="10"/>
  <c r="BR111" i="10"/>
  <c r="BS91" i="9"/>
  <c r="BR91" i="9"/>
  <c r="BS90" i="9"/>
  <c r="BR90" i="9"/>
  <c r="BS89" i="9"/>
  <c r="BR89" i="9"/>
  <c r="BS88" i="9"/>
  <c r="BR88" i="9"/>
  <c r="BS87" i="9"/>
  <c r="BR87" i="9"/>
  <c r="BS73" i="9"/>
  <c r="BR73" i="9"/>
  <c r="BS72" i="9"/>
  <c r="BR72" i="9"/>
  <c r="BS71" i="9"/>
  <c r="BR71" i="9"/>
  <c r="BS70" i="9"/>
  <c r="BR70" i="9"/>
  <c r="BS69" i="9"/>
  <c r="BR69" i="9"/>
  <c r="BS64" i="9"/>
  <c r="BR64" i="9"/>
  <c r="BS63" i="9"/>
  <c r="BR63" i="9"/>
  <c r="BS62" i="9"/>
  <c r="BR62" i="9"/>
  <c r="BS61" i="9"/>
  <c r="BR61" i="9"/>
  <c r="BS60" i="9"/>
  <c r="BR60" i="9"/>
  <c r="BS55" i="9"/>
  <c r="BR55" i="9"/>
  <c r="BS54" i="9"/>
  <c r="BR54" i="9"/>
  <c r="BS53" i="9"/>
  <c r="BR53" i="9"/>
  <c r="BS52" i="9"/>
  <c r="BR52" i="9"/>
  <c r="BS51" i="9"/>
  <c r="BR51" i="9"/>
  <c r="BS46" i="9"/>
  <c r="BR46" i="9"/>
  <c r="BS45" i="9"/>
  <c r="BR45" i="9"/>
  <c r="BS44" i="9"/>
  <c r="BR44" i="9"/>
  <c r="BS43" i="9"/>
  <c r="BR43" i="9"/>
  <c r="BS42" i="9"/>
  <c r="BR42" i="9"/>
  <c r="BS37" i="9"/>
  <c r="BR37" i="9"/>
  <c r="BS36" i="9"/>
  <c r="BR36" i="9"/>
  <c r="BS35" i="9"/>
  <c r="BR35" i="9"/>
  <c r="BS34" i="9"/>
  <c r="BR34" i="9"/>
  <c r="BS33" i="9"/>
  <c r="BR33" i="9"/>
  <c r="BS28" i="9"/>
  <c r="BR28" i="9"/>
  <c r="BS27" i="9"/>
  <c r="BR27" i="9"/>
  <c r="BS26" i="9"/>
  <c r="BR26" i="9"/>
  <c r="BS25" i="9"/>
  <c r="BR25" i="9"/>
  <c r="BS24" i="9"/>
  <c r="BR24" i="9"/>
  <c r="BS19" i="9"/>
  <c r="BR19" i="9"/>
  <c r="BS18" i="9"/>
  <c r="BR18" i="9"/>
  <c r="BS17" i="9"/>
  <c r="BR17" i="9"/>
  <c r="BS16" i="9"/>
  <c r="BR16" i="9"/>
  <c r="BS15" i="9"/>
  <c r="BR15" i="9"/>
  <c r="BS10" i="9"/>
  <c r="BR10" i="9"/>
  <c r="BS9" i="9"/>
  <c r="BR9" i="9"/>
  <c r="BS8" i="9"/>
  <c r="BR8" i="9"/>
  <c r="BS7" i="9"/>
  <c r="BR7" i="9"/>
  <c r="BS6" i="9"/>
  <c r="BR6" i="9"/>
  <c r="AW25" i="11" l="1"/>
  <c r="AW24" i="11"/>
  <c r="AW22" i="11"/>
  <c r="AV25" i="11"/>
  <c r="AV24" i="11"/>
  <c r="AV22" i="11"/>
  <c r="AW34" i="10"/>
  <c r="AW30" i="10"/>
  <c r="AW33" i="10"/>
  <c r="AW32" i="10"/>
  <c r="AW28" i="10"/>
  <c r="AV34" i="10"/>
  <c r="AV30" i="10"/>
  <c r="AV32" i="10"/>
  <c r="AV28" i="10"/>
  <c r="AW24" i="9"/>
  <c r="AW26" i="9"/>
  <c r="AW27" i="9"/>
  <c r="AW28" i="9"/>
  <c r="AV24" i="9"/>
  <c r="AV26" i="9"/>
  <c r="AV27" i="9"/>
  <c r="AV28" i="9"/>
  <c r="Y25" i="11" l="1"/>
  <c r="X25" i="11"/>
  <c r="Y24" i="11"/>
  <c r="X24" i="11"/>
  <c r="Y22" i="11"/>
  <c r="X22" i="11"/>
  <c r="Y34" i="10"/>
  <c r="X34" i="10"/>
  <c r="Y33" i="10"/>
  <c r="X33" i="10"/>
  <c r="Y32" i="10"/>
  <c r="X32" i="10"/>
  <c r="Y31" i="10"/>
  <c r="X31" i="10"/>
  <c r="Y30" i="10"/>
  <c r="X30" i="10"/>
  <c r="Y28" i="10"/>
  <c r="X28" i="10"/>
  <c r="Y28" i="9"/>
  <c r="Y27" i="9"/>
  <c r="Y26" i="9"/>
  <c r="Y24" i="9"/>
  <c r="X28" i="9"/>
  <c r="X27" i="9"/>
  <c r="X26" i="9"/>
  <c r="X24" i="9"/>
  <c r="Q7" i="8"/>
  <c r="M7" i="8"/>
  <c r="H7" i="8"/>
  <c r="AD7" i="8"/>
  <c r="AC14" i="8"/>
  <c r="Y7" i="8"/>
  <c r="BS24" i="7"/>
  <c r="BR24" i="7"/>
  <c r="BS20" i="7"/>
  <c r="BR20" i="7"/>
  <c r="BS19" i="7"/>
  <c r="BR19" i="7"/>
  <c r="BS18" i="7"/>
  <c r="BR18" i="7"/>
  <c r="BS14" i="7"/>
  <c r="BR14" i="7"/>
  <c r="BS13" i="7"/>
  <c r="BR13" i="7"/>
  <c r="BS12" i="7"/>
  <c r="BR12" i="7"/>
  <c r="BS11" i="7"/>
  <c r="BR11" i="7"/>
  <c r="BS10" i="7"/>
  <c r="BR10" i="7"/>
  <c r="BS8" i="7"/>
  <c r="BR8" i="7"/>
  <c r="BS7" i="7"/>
  <c r="BR7" i="7"/>
  <c r="BS6" i="7"/>
  <c r="BR6" i="7"/>
  <c r="BK24" i="7"/>
  <c r="BJ24" i="7"/>
  <c r="BG24" i="7"/>
  <c r="BF24" i="7"/>
  <c r="Y24" i="7"/>
  <c r="X24" i="7"/>
  <c r="AG24" i="7"/>
  <c r="AF24" i="7"/>
  <c r="BS12" i="1"/>
  <c r="BS11" i="1"/>
  <c r="BS10" i="1"/>
  <c r="BS8" i="1"/>
  <c r="BS6" i="1"/>
  <c r="BS5" i="1"/>
  <c r="BR12" i="1"/>
  <c r="BR11" i="1"/>
  <c r="BR10" i="1"/>
  <c r="BR8" i="1"/>
  <c r="BR6" i="1"/>
  <c r="BR5" i="1"/>
  <c r="AG5" i="1"/>
  <c r="AG6" i="1"/>
  <c r="AG8" i="1"/>
  <c r="AG9" i="1"/>
  <c r="AG10" i="1"/>
  <c r="AG11" i="1"/>
  <c r="AG12" i="1"/>
  <c r="AG14" i="1"/>
  <c r="AF14" i="1"/>
  <c r="AF12" i="1"/>
  <c r="AF11" i="1"/>
  <c r="AF10" i="1"/>
  <c r="AF9" i="1"/>
  <c r="AF8" i="1"/>
  <c r="AF6" i="1"/>
  <c r="AF5" i="1"/>
  <c r="AG15" i="1"/>
  <c r="AG13" i="1"/>
  <c r="Y15" i="1"/>
  <c r="Y13" i="1"/>
  <c r="Y7" i="1"/>
  <c r="O14" i="1"/>
  <c r="O12" i="1"/>
  <c r="O11" i="1"/>
  <c r="O10" i="1"/>
  <c r="O9" i="1"/>
  <c r="O8" i="1"/>
  <c r="O6" i="1"/>
  <c r="O5" i="1"/>
  <c r="N14" i="1"/>
  <c r="N12" i="1"/>
  <c r="N11" i="1"/>
  <c r="N10" i="1"/>
  <c r="N9" i="1"/>
  <c r="N8" i="1"/>
  <c r="N6" i="1"/>
  <c r="N5" i="1"/>
  <c r="K15" i="1"/>
  <c r="J15" i="1"/>
  <c r="I15" i="1"/>
  <c r="H15" i="1"/>
  <c r="G15" i="1"/>
  <c r="F15" i="1"/>
  <c r="E15" i="1"/>
  <c r="D15" i="1"/>
  <c r="C15" i="1"/>
  <c r="K13" i="1"/>
  <c r="J13" i="1"/>
  <c r="I13" i="1"/>
  <c r="H13" i="1"/>
  <c r="G13" i="1"/>
  <c r="F13" i="1"/>
  <c r="E13" i="1"/>
  <c r="D13" i="1"/>
  <c r="C13" i="1"/>
  <c r="K7" i="1"/>
  <c r="J7" i="1"/>
  <c r="I7" i="1"/>
  <c r="H7" i="1"/>
  <c r="G7" i="1"/>
  <c r="F7" i="1"/>
  <c r="E7" i="1"/>
  <c r="D7" i="1"/>
  <c r="C7" i="1"/>
  <c r="BO15" i="1"/>
  <c r="BN15" i="1"/>
  <c r="BM15" i="1"/>
  <c r="BK15" i="1"/>
  <c r="BJ15" i="1"/>
  <c r="BO13" i="1"/>
  <c r="BN13" i="1"/>
  <c r="BM13" i="1"/>
  <c r="BK13" i="1"/>
  <c r="BJ13" i="1"/>
  <c r="BO7" i="1"/>
  <c r="BN7" i="1"/>
  <c r="BM7" i="1"/>
  <c r="BK7" i="1"/>
  <c r="BJ7" i="1"/>
  <c r="BG15" i="1"/>
  <c r="BG13" i="1"/>
  <c r="BG7" i="1"/>
  <c r="BE14" i="1"/>
  <c r="BE12" i="1"/>
  <c r="BE11" i="1"/>
  <c r="BE10" i="1"/>
  <c r="BE9" i="1"/>
  <c r="BE15" i="1" s="1"/>
  <c r="BE8" i="1"/>
  <c r="BE6" i="1"/>
  <c r="BE5" i="1"/>
  <c r="BD14" i="1"/>
  <c r="BD12" i="1"/>
  <c r="BD11" i="1"/>
  <c r="BD10" i="1"/>
  <c r="BD9" i="1"/>
  <c r="BD8" i="1"/>
  <c r="BD6" i="1"/>
  <c r="BD5" i="1"/>
  <c r="BE13" i="1"/>
  <c r="BC15" i="1"/>
  <c r="BC13" i="1"/>
  <c r="BC7" i="1"/>
  <c r="AW15" i="1"/>
  <c r="AW13" i="1"/>
  <c r="AW7" i="1"/>
  <c r="R7" i="8"/>
  <c r="AI15" i="1"/>
  <c r="AI13" i="1"/>
  <c r="AI7" i="1"/>
  <c r="P7" i="8"/>
  <c r="AE24" i="7"/>
  <c r="AD24" i="7"/>
  <c r="AE15" i="1"/>
  <c r="AE13" i="1"/>
  <c r="AE7" i="1"/>
  <c r="AC25" i="11"/>
  <c r="AB25" i="11"/>
  <c r="AC24" i="11"/>
  <c r="AB24" i="11"/>
  <c r="AC22" i="11"/>
  <c r="AB22" i="11"/>
  <c r="AC17" i="11"/>
  <c r="AC16" i="11"/>
  <c r="AB17" i="11"/>
  <c r="AB16" i="11"/>
  <c r="AC34" i="10"/>
  <c r="AB34" i="10"/>
  <c r="AC28" i="10"/>
  <c r="AB28" i="10"/>
  <c r="AC23" i="10"/>
  <c r="AB23" i="10"/>
  <c r="AC17" i="10"/>
  <c r="AB17" i="10"/>
  <c r="AC28" i="9"/>
  <c r="AB28" i="9"/>
  <c r="AC27" i="9"/>
  <c r="AB27" i="9"/>
  <c r="AC26" i="9"/>
  <c r="AB26" i="9"/>
  <c r="AC24" i="9"/>
  <c r="AB24" i="9"/>
  <c r="AC19" i="9"/>
  <c r="AB19" i="9"/>
  <c r="AC18" i="9"/>
  <c r="AB18" i="9"/>
  <c r="AC17" i="9"/>
  <c r="AB17" i="9"/>
  <c r="AC15" i="9"/>
  <c r="AB15" i="9"/>
  <c r="O7" i="8"/>
  <c r="AC24" i="7"/>
  <c r="AB24" i="7"/>
  <c r="AC15" i="1"/>
  <c r="AC13" i="1"/>
  <c r="AC7" i="1"/>
  <c r="Z6" i="1"/>
  <c r="AA6" i="1"/>
  <c r="AA15" i="1"/>
  <c r="AA13" i="1"/>
  <c r="AA7" i="1"/>
  <c r="AG7" i="1" l="1"/>
  <c r="O15" i="1"/>
  <c r="O13" i="1"/>
  <c r="O7" i="1"/>
  <c r="BE7" i="1"/>
  <c r="CF20" i="14"/>
  <c r="CD34" i="14"/>
  <c r="CD18" i="14"/>
  <c r="AP19" i="14"/>
  <c r="AO19" i="14"/>
  <c r="CI29" i="14"/>
  <c r="CI34" i="14"/>
  <c r="CI31" i="14"/>
  <c r="CI18" i="14"/>
  <c r="CH14" i="14"/>
  <c r="CH18" i="14"/>
  <c r="L19" i="14"/>
  <c r="U19" i="14"/>
  <c r="T19" i="14"/>
  <c r="AI19" i="14"/>
  <c r="AJ19" i="14"/>
  <c r="AV35" i="14"/>
  <c r="AV19" i="14"/>
  <c r="AU35" i="14"/>
  <c r="AU19" i="14"/>
  <c r="E5" i="16"/>
  <c r="AC11" i="16"/>
  <c r="AM14" i="1" l="1"/>
  <c r="AM12" i="1"/>
  <c r="AM11" i="1"/>
  <c r="AM10" i="1"/>
  <c r="AM9" i="1"/>
  <c r="AM15" i="1" s="1"/>
  <c r="AM8" i="1"/>
  <c r="AM6" i="1"/>
  <c r="AM5" i="1"/>
  <c r="AL14" i="1"/>
  <c r="AL12" i="1"/>
  <c r="AL11" i="1"/>
  <c r="AL10" i="1"/>
  <c r="AL9" i="1"/>
  <c r="AL8" i="1"/>
  <c r="AL6" i="1"/>
  <c r="AL5" i="1"/>
  <c r="AO15" i="1"/>
  <c r="AO13" i="1"/>
  <c r="AO7" i="1"/>
  <c r="U11" i="16"/>
  <c r="R14" i="18"/>
  <c r="AM13" i="1" l="1"/>
  <c r="AM7" i="1"/>
  <c r="U14" i="3"/>
  <c r="U13" i="3"/>
  <c r="U12" i="3"/>
  <c r="U11" i="3"/>
  <c r="U10" i="3"/>
  <c r="U9" i="3"/>
  <c r="U8" i="3"/>
  <c r="U7" i="3"/>
  <c r="U6" i="3"/>
  <c r="CU36" i="14"/>
  <c r="CT36" i="14"/>
  <c r="CV33" i="14"/>
  <c r="CV32" i="14"/>
  <c r="CV31" i="14"/>
  <c r="CV30" i="14"/>
  <c r="CV27" i="14"/>
  <c r="CV26" i="14"/>
  <c r="CV25" i="14"/>
  <c r="CV24" i="14"/>
  <c r="CV23" i="14"/>
  <c r="CU20" i="14"/>
  <c r="CU37" i="14" s="1"/>
  <c r="CT20" i="14"/>
  <c r="CV17" i="14"/>
  <c r="CV16" i="14"/>
  <c r="CV15" i="14"/>
  <c r="CV14" i="14"/>
  <c r="CV12" i="14"/>
  <c r="CV11" i="14"/>
  <c r="CV9" i="14"/>
  <c r="CV8" i="14"/>
  <c r="CV7" i="14"/>
  <c r="BQ5" i="1"/>
  <c r="BQ6" i="1"/>
  <c r="BQ8" i="1"/>
  <c r="BQ7" i="1" s="1"/>
  <c r="BQ9" i="1"/>
  <c r="BQ10" i="1"/>
  <c r="BQ11" i="1"/>
  <c r="BQ12" i="1"/>
  <c r="BQ14" i="1"/>
  <c r="BP14" i="1"/>
  <c r="BP12" i="1"/>
  <c r="BP11" i="1"/>
  <c r="BP10" i="1"/>
  <c r="BP9" i="1"/>
  <c r="BP8" i="1"/>
  <c r="BP6" i="1"/>
  <c r="BP5" i="1"/>
  <c r="BQ15" i="1"/>
  <c r="BQ24" i="7"/>
  <c r="BP24" i="7"/>
  <c r="AI7" i="8"/>
  <c r="BQ28" i="9"/>
  <c r="BQ27" i="9"/>
  <c r="BQ26" i="9"/>
  <c r="BQ24" i="9"/>
  <c r="BQ19" i="9"/>
  <c r="BQ18" i="9"/>
  <c r="BQ17" i="9"/>
  <c r="BQ15" i="9"/>
  <c r="BP27" i="9"/>
  <c r="BP26" i="9"/>
  <c r="BP24" i="9"/>
  <c r="BP28" i="9"/>
  <c r="BP19" i="9"/>
  <c r="BP18" i="9"/>
  <c r="BP17" i="9"/>
  <c r="BP15" i="9"/>
  <c r="BQ19" i="10"/>
  <c r="BQ23" i="10"/>
  <c r="BQ22" i="10"/>
  <c r="BQ21" i="10"/>
  <c r="BQ17" i="10"/>
  <c r="BQ17" i="11"/>
  <c r="BQ16" i="11"/>
  <c r="BQ25" i="11"/>
  <c r="BQ24" i="11"/>
  <c r="BQ22" i="11"/>
  <c r="BP34" i="10"/>
  <c r="BP30" i="10"/>
  <c r="BP28" i="10"/>
  <c r="BP32" i="10"/>
  <c r="BP23" i="10"/>
  <c r="BP21" i="10"/>
  <c r="BP73" i="11"/>
  <c r="BP72" i="11"/>
  <c r="BP71" i="11"/>
  <c r="BP70" i="11"/>
  <c r="BP25" i="11"/>
  <c r="BP24" i="11"/>
  <c r="BP22" i="11"/>
  <c r="BP17" i="11"/>
  <c r="BP16" i="11"/>
  <c r="U82" i="9"/>
  <c r="U81" i="9"/>
  <c r="U80" i="9"/>
  <c r="U79" i="9"/>
  <c r="U78" i="9"/>
  <c r="U15" i="1"/>
  <c r="U13" i="1"/>
  <c r="U7" i="1"/>
  <c r="CV36" i="14" l="1"/>
  <c r="CV20" i="14"/>
  <c r="CT37" i="14"/>
  <c r="BQ13" i="1"/>
  <c r="Z11" i="18"/>
  <c r="BW35" i="14"/>
  <c r="BW19" i="14"/>
  <c r="BV35" i="14"/>
  <c r="BV19" i="14"/>
  <c r="CV37" i="14" l="1"/>
  <c r="Z7" i="8"/>
  <c r="AY24" i="7"/>
  <c r="AX24" i="7"/>
  <c r="AY14" i="1"/>
  <c r="AX14" i="1"/>
  <c r="AY12" i="1"/>
  <c r="AX12" i="1"/>
  <c r="AY11" i="1"/>
  <c r="AX11" i="1"/>
  <c r="AY10" i="1"/>
  <c r="AX10" i="1"/>
  <c r="AY9" i="1"/>
  <c r="AX9" i="1"/>
  <c r="AY8" i="1"/>
  <c r="AX8" i="1"/>
  <c r="AY6" i="1"/>
  <c r="AX6" i="1"/>
  <c r="AY5" i="1"/>
  <c r="AX5" i="1"/>
  <c r="AY15" i="1" l="1"/>
  <c r="AY13" i="1"/>
  <c r="AY7" i="1"/>
  <c r="BO11" i="3"/>
  <c r="BM11" i="3"/>
  <c r="AS24" i="7"/>
  <c r="AR24" i="7"/>
  <c r="AS14" i="1"/>
  <c r="AR14" i="1"/>
  <c r="AS12" i="1"/>
  <c r="AR12" i="1"/>
  <c r="AS11" i="1"/>
  <c r="AR11" i="1"/>
  <c r="AS10" i="1"/>
  <c r="AR10" i="1"/>
  <c r="AS9" i="1"/>
  <c r="AS7" i="1" s="1"/>
  <c r="AR9" i="1"/>
  <c r="AS8" i="1"/>
  <c r="AR8" i="1"/>
  <c r="AS6" i="1"/>
  <c r="AR6" i="1"/>
  <c r="AS5" i="1"/>
  <c r="AR5" i="1"/>
  <c r="W9" i="13"/>
  <c r="W7" i="13"/>
  <c r="E6" i="13"/>
  <c r="L7" i="17"/>
  <c r="AG29" i="14"/>
  <c r="AG22" i="14"/>
  <c r="AG13" i="14"/>
  <c r="AG6" i="14"/>
  <c r="AF29" i="14"/>
  <c r="AF22" i="14"/>
  <c r="AF13" i="14"/>
  <c r="AF6" i="14"/>
  <c r="W24" i="7"/>
  <c r="V24" i="7"/>
  <c r="V6" i="1"/>
  <c r="W15" i="1"/>
  <c r="W13" i="1"/>
  <c r="W7" i="1"/>
  <c r="W6" i="1"/>
  <c r="V7" i="1"/>
  <c r="S15" i="1"/>
  <c r="S13" i="1"/>
  <c r="S7" i="1"/>
  <c r="BZ12" i="3"/>
  <c r="BZ36" i="14"/>
  <c r="BY36" i="14"/>
  <c r="CA35" i="14"/>
  <c r="CA34" i="14"/>
  <c r="CA33" i="14"/>
  <c r="CA32" i="14"/>
  <c r="CA31" i="14"/>
  <c r="CA30" i="14"/>
  <c r="CA29" i="14"/>
  <c r="CA28" i="14"/>
  <c r="CA27" i="14"/>
  <c r="CA26" i="14"/>
  <c r="CA25" i="14"/>
  <c r="CA24" i="14"/>
  <c r="CA23" i="14"/>
  <c r="CA22" i="14"/>
  <c r="BZ20" i="14"/>
  <c r="BY20" i="14"/>
  <c r="CA19" i="14"/>
  <c r="CA18" i="14"/>
  <c r="CA17" i="14"/>
  <c r="CA16" i="14"/>
  <c r="CA15" i="14"/>
  <c r="CA14" i="14"/>
  <c r="CA13" i="14"/>
  <c r="CA12" i="14"/>
  <c r="CA11" i="14"/>
  <c r="CA10" i="14"/>
  <c r="CA9" i="14"/>
  <c r="CA8" i="14"/>
  <c r="CA7" i="14"/>
  <c r="CA6" i="14"/>
  <c r="BA100" i="10"/>
  <c r="AZ100" i="10"/>
  <c r="BA99" i="10"/>
  <c r="AZ99" i="10"/>
  <c r="BA98" i="10"/>
  <c r="AZ98" i="10"/>
  <c r="BA97" i="10"/>
  <c r="AZ97" i="10"/>
  <c r="BA96" i="10"/>
  <c r="AZ96" i="10"/>
  <c r="BA95" i="10"/>
  <c r="AZ95" i="10"/>
  <c r="BA94" i="10"/>
  <c r="AZ94" i="10"/>
  <c r="BA15" i="1"/>
  <c r="BA13" i="1"/>
  <c r="BA7" i="1"/>
  <c r="CA20" i="14" l="1"/>
  <c r="CA36" i="14"/>
  <c r="CA37" i="14" s="1"/>
  <c r="AS13" i="1"/>
  <c r="AS15" i="1"/>
  <c r="BZ37" i="14"/>
  <c r="BY37" i="14"/>
  <c r="AK11" i="6"/>
  <c r="AJ11" i="6"/>
  <c r="AI11" i="6"/>
  <c r="AH11" i="6"/>
  <c r="BI11" i="6"/>
  <c r="BH11" i="6"/>
  <c r="BG11" i="6"/>
  <c r="BF11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D12" i="6"/>
  <c r="C12" i="6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BQ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BQ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BQ71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BQ70" i="11"/>
  <c r="BO70" i="11"/>
  <c r="BN70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BQ99" i="10"/>
  <c r="BP99" i="10"/>
  <c r="BO99" i="10"/>
  <c r="BN99" i="10"/>
  <c r="BM99" i="10"/>
  <c r="BL99" i="10"/>
  <c r="BK99" i="10"/>
  <c r="BJ99" i="10"/>
  <c r="BI99" i="10"/>
  <c r="BH99" i="10"/>
  <c r="BG99" i="10"/>
  <c r="BF99" i="10"/>
  <c r="BE99" i="10"/>
  <c r="BD99" i="10"/>
  <c r="BC99" i="10"/>
  <c r="BB99" i="10"/>
  <c r="AY99" i="10"/>
  <c r="AX99" i="10"/>
  <c r="AW99" i="10"/>
  <c r="AV99" i="10"/>
  <c r="AU99" i="10"/>
  <c r="AT99" i="10"/>
  <c r="AS99" i="10"/>
  <c r="AR99" i="10"/>
  <c r="AQ99" i="10"/>
  <c r="AP99" i="10"/>
  <c r="BR99" i="10" s="1"/>
  <c r="AO99" i="10"/>
  <c r="AN99" i="10"/>
  <c r="AM99" i="10"/>
  <c r="AL99" i="10"/>
  <c r="AK99" i="10"/>
  <c r="AJ99" i="10"/>
  <c r="BQ98" i="10"/>
  <c r="BP98" i="10"/>
  <c r="BO98" i="10"/>
  <c r="BN98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AY98" i="10"/>
  <c r="AX98" i="10"/>
  <c r="AW98" i="10"/>
  <c r="AV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BQ97" i="10"/>
  <c r="BP97" i="10"/>
  <c r="BO97" i="10"/>
  <c r="BN97" i="10"/>
  <c r="BM97" i="10"/>
  <c r="BL97" i="10"/>
  <c r="BK97" i="10"/>
  <c r="BJ97" i="10"/>
  <c r="BI97" i="10"/>
  <c r="BH97" i="10"/>
  <c r="BG97" i="10"/>
  <c r="BF97" i="10"/>
  <c r="BE97" i="10"/>
  <c r="BD97" i="10"/>
  <c r="BC97" i="10"/>
  <c r="BB97" i="10"/>
  <c r="AY97" i="10"/>
  <c r="AX97" i="10"/>
  <c r="AW97" i="10"/>
  <c r="AV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J82" i="9"/>
  <c r="AJ81" i="9"/>
  <c r="AJ80" i="9"/>
  <c r="AJ79" i="9"/>
  <c r="AJ78" i="9"/>
  <c r="BQ82" i="9"/>
  <c r="BP82" i="9"/>
  <c r="BO82" i="9"/>
  <c r="BN82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BQ81" i="9"/>
  <c r="BP81" i="9"/>
  <c r="BO81" i="9"/>
  <c r="BN81" i="9"/>
  <c r="BM81" i="9"/>
  <c r="BL81" i="9"/>
  <c r="BK81" i="9"/>
  <c r="BJ81" i="9"/>
  <c r="BI81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L81" i="9"/>
  <c r="AK81" i="9"/>
  <c r="BQ80" i="9"/>
  <c r="BP80" i="9"/>
  <c r="BO80" i="9"/>
  <c r="BN80" i="9"/>
  <c r="BM80" i="9"/>
  <c r="BL80" i="9"/>
  <c r="BK80" i="9"/>
  <c r="BJ80" i="9"/>
  <c r="BI80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AP80" i="9"/>
  <c r="AO80" i="9"/>
  <c r="AN80" i="9"/>
  <c r="AM80" i="9"/>
  <c r="AL80" i="9"/>
  <c r="AK80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BQ23" i="7"/>
  <c r="BQ25" i="7" s="1"/>
  <c r="BP23" i="7"/>
  <c r="BP25" i="7" s="1"/>
  <c r="BO23" i="7"/>
  <c r="BO25" i="7" s="1"/>
  <c r="BN23" i="7"/>
  <c r="BN25" i="7" s="1"/>
  <c r="BM23" i="7"/>
  <c r="BM25" i="7" s="1"/>
  <c r="BL23" i="7"/>
  <c r="BL25" i="7" s="1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O23" i="7"/>
  <c r="AO25" i="7" s="1"/>
  <c r="AN23" i="7"/>
  <c r="AN25" i="7" s="1"/>
  <c r="AM23" i="7"/>
  <c r="AM25" i="7" s="1"/>
  <c r="AL23" i="7"/>
  <c r="AL25" i="7" s="1"/>
  <c r="AK23" i="7"/>
  <c r="AK25" i="7" s="1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O21" i="7"/>
  <c r="AN21" i="7"/>
  <c r="AM21" i="7"/>
  <c r="AL21" i="7"/>
  <c r="AK21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O15" i="7"/>
  <c r="AN15" i="7"/>
  <c r="AM15" i="7"/>
  <c r="AL15" i="7"/>
  <c r="AK15" i="7"/>
  <c r="BI15" i="1"/>
  <c r="BI13" i="1"/>
  <c r="BI7" i="1"/>
  <c r="R35" i="14"/>
  <c r="R19" i="14"/>
  <c r="Q35" i="14"/>
  <c r="Q19" i="14"/>
  <c r="G7" i="8"/>
  <c r="M15" i="1"/>
  <c r="M13" i="1"/>
  <c r="M7" i="1"/>
  <c r="AI72" i="11" l="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71" i="11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BS99" i="10" s="1"/>
  <c r="F99" i="10"/>
  <c r="E99" i="10"/>
  <c r="D99" i="10"/>
  <c r="C99" i="10"/>
  <c r="B99" i="10"/>
  <c r="AI98" i="10"/>
  <c r="AH98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BS98" i="10" s="1"/>
  <c r="F98" i="10"/>
  <c r="BR98" i="10" s="1"/>
  <c r="E98" i="10"/>
  <c r="D98" i="10"/>
  <c r="C98" i="10"/>
  <c r="B98" i="10"/>
  <c r="AI97" i="10"/>
  <c r="AH97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BS97" i="10" s="1"/>
  <c r="F97" i="10"/>
  <c r="BR97" i="10" s="1"/>
  <c r="E97" i="10"/>
  <c r="D97" i="10"/>
  <c r="C97" i="10"/>
  <c r="B97" i="10"/>
  <c r="AI96" i="10"/>
  <c r="AH96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BS96" i="10" s="1"/>
  <c r="F96" i="10"/>
  <c r="BR96" i="10" s="1"/>
  <c r="E96" i="10"/>
  <c r="D96" i="10"/>
  <c r="C96" i="10"/>
  <c r="B96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BS95" i="10" s="1"/>
  <c r="F95" i="10"/>
  <c r="BR95" i="10" s="1"/>
  <c r="E95" i="10"/>
  <c r="D95" i="10"/>
  <c r="C95" i="10"/>
  <c r="B95" i="10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V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BS71" i="11" l="1"/>
  <c r="BR71" i="11"/>
  <c r="BS79" i="9"/>
  <c r="BR79" i="9"/>
  <c r="BS72" i="11"/>
  <c r="BR72" i="11"/>
  <c r="BS80" i="9"/>
  <c r="BR80" i="9"/>
  <c r="BI16" i="14"/>
  <c r="BI15" i="14"/>
  <c r="BI14" i="14"/>
  <c r="BI13" i="14"/>
  <c r="BI12" i="14"/>
  <c r="BI11" i="14"/>
  <c r="BI10" i="14"/>
  <c r="BI9" i="14"/>
  <c r="AC15" i="16" l="1"/>
  <c r="AJ4" i="16"/>
  <c r="AJ5" i="16"/>
  <c r="AJ6" i="16"/>
  <c r="AJ7" i="16"/>
  <c r="AJ8" i="16"/>
  <c r="AJ9" i="16"/>
  <c r="AJ10" i="16"/>
  <c r="AJ12" i="16"/>
  <c r="AJ13" i="16"/>
  <c r="AJ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5" i="16"/>
  <c r="AJ16" i="16"/>
  <c r="AJ17" i="16"/>
  <c r="AJ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CX36" i="14"/>
  <c r="CW36" i="14"/>
  <c r="CQ36" i="14"/>
  <c r="CO36" i="14"/>
  <c r="CN36" i="14"/>
  <c r="CL36" i="14"/>
  <c r="CK36" i="14"/>
  <c r="CH36" i="14"/>
  <c r="CF36" i="14"/>
  <c r="CF37" i="14" s="1"/>
  <c r="CE36" i="14"/>
  <c r="CC36" i="14"/>
  <c r="CB36" i="14"/>
  <c r="BV36" i="14"/>
  <c r="BT36" i="14"/>
  <c r="BS36" i="14"/>
  <c r="BQ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S36" i="14"/>
  <c r="AR36" i="14"/>
  <c r="AP36" i="14"/>
  <c r="AO36" i="14"/>
  <c r="AM36" i="14"/>
  <c r="AL36" i="14"/>
  <c r="AJ36" i="14"/>
  <c r="AI36" i="14"/>
  <c r="AD36" i="14"/>
  <c r="AC36" i="14"/>
  <c r="Z36" i="14"/>
  <c r="X36" i="14"/>
  <c r="W36" i="14"/>
  <c r="U36" i="14"/>
  <c r="T36" i="14"/>
  <c r="O36" i="14"/>
  <c r="N36" i="14"/>
  <c r="L36" i="14"/>
  <c r="K36" i="14"/>
  <c r="I36" i="14"/>
  <c r="H36" i="14"/>
  <c r="E36" i="14"/>
  <c r="C36" i="14"/>
  <c r="B36" i="14"/>
  <c r="CY35" i="14"/>
  <c r="CS35" i="14"/>
  <c r="CP35" i="14"/>
  <c r="CM35" i="14"/>
  <c r="CJ35" i="14"/>
  <c r="CG35" i="14"/>
  <c r="BX35" i="14"/>
  <c r="BW36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Q36" i="14"/>
  <c r="P35" i="14"/>
  <c r="M35" i="14"/>
  <c r="G35" i="14"/>
  <c r="D35" i="14"/>
  <c r="CY34" i="14"/>
  <c r="CS34" i="14"/>
  <c r="CP34" i="14"/>
  <c r="CM34" i="14"/>
  <c r="CJ34" i="14"/>
  <c r="CG34" i="14"/>
  <c r="BX34" i="14"/>
  <c r="BU34" i="14"/>
  <c r="BO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Y33" i="14"/>
  <c r="CS33" i="14"/>
  <c r="CP33" i="14"/>
  <c r="CM33" i="14"/>
  <c r="CJ33" i="14"/>
  <c r="CG33" i="14"/>
  <c r="CD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Y32" i="14"/>
  <c r="CS32" i="14"/>
  <c r="CP32" i="14"/>
  <c r="CM32" i="14"/>
  <c r="CJ32" i="14"/>
  <c r="CG32" i="14"/>
  <c r="CD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6" i="14"/>
  <c r="Y32" i="14"/>
  <c r="V32" i="14"/>
  <c r="S32" i="14"/>
  <c r="P32" i="14"/>
  <c r="M32" i="14"/>
  <c r="J32" i="14"/>
  <c r="G32" i="14"/>
  <c r="D32" i="14"/>
  <c r="CY31" i="14"/>
  <c r="CS31" i="14"/>
  <c r="CP31" i="14"/>
  <c r="CM31" i="14"/>
  <c r="CJ31" i="14"/>
  <c r="CG31" i="14"/>
  <c r="CD31" i="14"/>
  <c r="BX31" i="14"/>
  <c r="BU31" i="14"/>
  <c r="BR31" i="14"/>
  <c r="BO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Y30" i="14"/>
  <c r="CS30" i="14"/>
  <c r="CP30" i="14"/>
  <c r="CM30" i="14"/>
  <c r="CJ30" i="14"/>
  <c r="CG30" i="14"/>
  <c r="CD30" i="14"/>
  <c r="BX30" i="14"/>
  <c r="BU30" i="14"/>
  <c r="BR30" i="14"/>
  <c r="BO30" i="14"/>
  <c r="BL30" i="14"/>
  <c r="BI30" i="14"/>
  <c r="BF30" i="14"/>
  <c r="BC30" i="14"/>
  <c r="AZ30" i="14"/>
  <c r="AV36" i="14"/>
  <c r="AU36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Y29" i="14"/>
  <c r="CS29" i="14"/>
  <c r="CP29" i="14"/>
  <c r="CM29" i="14"/>
  <c r="CJ29" i="14"/>
  <c r="CG29" i="14"/>
  <c r="BX29" i="14"/>
  <c r="BU29" i="14"/>
  <c r="BO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Y28" i="14"/>
  <c r="CS28" i="14"/>
  <c r="CP28" i="14"/>
  <c r="CM28" i="14"/>
  <c r="CJ28" i="14"/>
  <c r="CG28" i="14"/>
  <c r="BX28" i="14"/>
  <c r="BU28" i="14"/>
  <c r="BO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Y27" i="14"/>
  <c r="CS27" i="14"/>
  <c r="CP27" i="14"/>
  <c r="CM27" i="14"/>
  <c r="CJ27" i="14"/>
  <c r="CG27" i="14"/>
  <c r="CD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Y26" i="14"/>
  <c r="CS26" i="14"/>
  <c r="CP26" i="14"/>
  <c r="CM26" i="14"/>
  <c r="CJ26" i="14"/>
  <c r="CG26" i="14"/>
  <c r="CD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Y25" i="14"/>
  <c r="CS25" i="14"/>
  <c r="CP25" i="14"/>
  <c r="CM25" i="14"/>
  <c r="CJ25" i="14"/>
  <c r="CG25" i="14"/>
  <c r="CD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Y24" i="14"/>
  <c r="CS24" i="14"/>
  <c r="CP24" i="14"/>
  <c r="CM24" i="14"/>
  <c r="CJ24" i="14"/>
  <c r="CG24" i="14"/>
  <c r="CD24" i="14"/>
  <c r="CD36" i="14" s="1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Y23" i="14"/>
  <c r="CR36" i="14"/>
  <c r="CP23" i="14"/>
  <c r="CM23" i="14"/>
  <c r="CJ23" i="14"/>
  <c r="CG23" i="14"/>
  <c r="BX23" i="14"/>
  <c r="BU23" i="14"/>
  <c r="BR23" i="14"/>
  <c r="BR36" i="14" s="1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Y22" i="14"/>
  <c r="CS22" i="14"/>
  <c r="CP22" i="14"/>
  <c r="CM22" i="14"/>
  <c r="CJ22" i="14"/>
  <c r="CG22" i="14"/>
  <c r="BX22" i="14"/>
  <c r="BU22" i="14"/>
  <c r="BO22" i="14"/>
  <c r="BI22" i="14"/>
  <c r="BF22" i="14"/>
  <c r="BC22" i="14"/>
  <c r="AZ22" i="14"/>
  <c r="AW22" i="14"/>
  <c r="AT22" i="14"/>
  <c r="AQ22" i="14"/>
  <c r="AN22" i="14"/>
  <c r="AK22" i="14"/>
  <c r="AH22" i="14"/>
  <c r="AG36" i="14"/>
  <c r="AF36" i="14"/>
  <c r="AE22" i="14"/>
  <c r="AB22" i="14"/>
  <c r="Y22" i="14"/>
  <c r="V22" i="14"/>
  <c r="S22" i="14"/>
  <c r="P22" i="14"/>
  <c r="M22" i="14"/>
  <c r="G22" i="14"/>
  <c r="D22" i="14"/>
  <c r="CX20" i="14"/>
  <c r="CX37" i="14" s="1"/>
  <c r="CW20" i="14"/>
  <c r="CW37" i="14" s="1"/>
  <c r="CR20" i="14"/>
  <c r="CO20" i="14"/>
  <c r="CN20" i="14"/>
  <c r="CL20" i="14"/>
  <c r="CK20" i="14"/>
  <c r="CE20" i="14"/>
  <c r="CE37" i="14" s="1"/>
  <c r="CC20" i="14"/>
  <c r="CB20" i="14"/>
  <c r="BT20" i="14"/>
  <c r="BS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S20" i="14"/>
  <c r="AR20" i="14"/>
  <c r="AM20" i="14"/>
  <c r="AL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I37" i="14" s="1"/>
  <c r="H20" i="14"/>
  <c r="E20" i="14"/>
  <c r="C20" i="14"/>
  <c r="B20" i="14"/>
  <c r="CY19" i="14"/>
  <c r="CS19" i="14"/>
  <c r="CP19" i="14"/>
  <c r="CM19" i="14"/>
  <c r="CJ19" i="14"/>
  <c r="CG19" i="14"/>
  <c r="BX19" i="14"/>
  <c r="BV20" i="14"/>
  <c r="BU19" i="14"/>
  <c r="BR19" i="14"/>
  <c r="BO19" i="14"/>
  <c r="BL19" i="14"/>
  <c r="BI19" i="14"/>
  <c r="BF19" i="14"/>
  <c r="BC19" i="14"/>
  <c r="AZ19" i="14"/>
  <c r="AW19" i="14"/>
  <c r="AT19" i="14"/>
  <c r="AP20" i="14"/>
  <c r="AO20" i="14"/>
  <c r="AN19" i="14"/>
  <c r="AK19" i="14"/>
  <c r="AH19" i="14"/>
  <c r="AE19" i="14"/>
  <c r="AB19" i="14"/>
  <c r="Y19" i="14"/>
  <c r="V19" i="14"/>
  <c r="T20" i="14"/>
  <c r="R20" i="14"/>
  <c r="Q20" i="14"/>
  <c r="P19" i="14"/>
  <c r="M19" i="14"/>
  <c r="J19" i="14"/>
  <c r="G19" i="14"/>
  <c r="D19" i="14"/>
  <c r="CY18" i="14"/>
  <c r="CS18" i="14"/>
  <c r="CP18" i="14"/>
  <c r="CM18" i="14"/>
  <c r="CJ18" i="14"/>
  <c r="CH20" i="14"/>
  <c r="CH37" i="14" s="1"/>
  <c r="CG18" i="14"/>
  <c r="BX18" i="14"/>
  <c r="BU18" i="14"/>
  <c r="BO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Y17" i="14"/>
  <c r="CS17" i="14"/>
  <c r="CP17" i="14"/>
  <c r="CM17" i="14"/>
  <c r="CJ17" i="14"/>
  <c r="CG17" i="14"/>
  <c r="CD17" i="14"/>
  <c r="BX17" i="14"/>
  <c r="BU17" i="14"/>
  <c r="BR17" i="14"/>
  <c r="BO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Y16" i="14"/>
  <c r="CS16" i="14"/>
  <c r="CP16" i="14"/>
  <c r="CM16" i="14"/>
  <c r="CJ16" i="14"/>
  <c r="CG16" i="14"/>
  <c r="CD16" i="14"/>
  <c r="BX16" i="14"/>
  <c r="BU16" i="14"/>
  <c r="BO16" i="14"/>
  <c r="BL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Y15" i="14"/>
  <c r="CS15" i="14"/>
  <c r="CP15" i="14"/>
  <c r="CM15" i="14"/>
  <c r="CJ15" i="14"/>
  <c r="CG15" i="14"/>
  <c r="CD15" i="14"/>
  <c r="BX15" i="14"/>
  <c r="BU15" i="14"/>
  <c r="BR15" i="14"/>
  <c r="BO15" i="14"/>
  <c r="BL15" i="14"/>
  <c r="BF15" i="14"/>
  <c r="BC15" i="14"/>
  <c r="AZ15" i="14"/>
  <c r="AV20" i="14"/>
  <c r="AU20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Y14" i="14"/>
  <c r="CS14" i="14"/>
  <c r="CP14" i="14"/>
  <c r="CM14" i="14"/>
  <c r="CJ14" i="14"/>
  <c r="CG14" i="14"/>
  <c r="CD14" i="14"/>
  <c r="BX14" i="14"/>
  <c r="BU14" i="14"/>
  <c r="BO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Y13" i="14"/>
  <c r="CS13" i="14"/>
  <c r="CP13" i="14"/>
  <c r="CM13" i="14"/>
  <c r="CJ13" i="14"/>
  <c r="CG13" i="14"/>
  <c r="BX13" i="14"/>
  <c r="BU13" i="14"/>
  <c r="BO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Y12" i="14"/>
  <c r="CS12" i="14"/>
  <c r="CP12" i="14"/>
  <c r="CM12" i="14"/>
  <c r="CJ12" i="14"/>
  <c r="CG12" i="14"/>
  <c r="CD12" i="14"/>
  <c r="BX12" i="14"/>
  <c r="BU12" i="14"/>
  <c r="BR12" i="14"/>
  <c r="BO12" i="14"/>
  <c r="BL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Y11" i="14"/>
  <c r="CS11" i="14"/>
  <c r="CP11" i="14"/>
  <c r="CM11" i="14"/>
  <c r="CJ11" i="14"/>
  <c r="CG11" i="14"/>
  <c r="CD11" i="14"/>
  <c r="BX11" i="14"/>
  <c r="BU11" i="14"/>
  <c r="BO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Y10" i="14"/>
  <c r="CS10" i="14"/>
  <c r="CP10" i="14"/>
  <c r="CM10" i="14"/>
  <c r="CJ10" i="14"/>
  <c r="CG10" i="14"/>
  <c r="BX10" i="14"/>
  <c r="BU10" i="14"/>
  <c r="BO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Y9" i="14"/>
  <c r="CS9" i="14"/>
  <c r="CP9" i="14"/>
  <c r="CM9" i="14"/>
  <c r="CJ9" i="14"/>
  <c r="CG9" i="14"/>
  <c r="CD9" i="14"/>
  <c r="BX9" i="14"/>
  <c r="BU9" i="14"/>
  <c r="BR9" i="14"/>
  <c r="BR20" i="14" s="1"/>
  <c r="BO9" i="14"/>
  <c r="BL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Y8" i="14"/>
  <c r="CS8" i="14"/>
  <c r="CP8" i="14"/>
  <c r="CM8" i="14"/>
  <c r="CJ8" i="14"/>
  <c r="CG8" i="14"/>
  <c r="CD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Y7" i="14"/>
  <c r="CS7" i="14"/>
  <c r="CP7" i="14"/>
  <c r="CM7" i="14"/>
  <c r="CJ7" i="14"/>
  <c r="CG7" i="14"/>
  <c r="BX7" i="14"/>
  <c r="BU7" i="14"/>
  <c r="BO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Y6" i="14"/>
  <c r="CS6" i="14"/>
  <c r="CP6" i="14"/>
  <c r="CM6" i="14"/>
  <c r="CJ6" i="14"/>
  <c r="CG6" i="14"/>
  <c r="BX6" i="14"/>
  <c r="BU6" i="14"/>
  <c r="BO6" i="14"/>
  <c r="BL6" i="14"/>
  <c r="BI6" i="14"/>
  <c r="BF6" i="14"/>
  <c r="BC6" i="14"/>
  <c r="AZ6" i="14"/>
  <c r="AW6" i="14"/>
  <c r="AT6" i="14"/>
  <c r="AQ6" i="14"/>
  <c r="AN6" i="14"/>
  <c r="AK6" i="14"/>
  <c r="AG20" i="14"/>
  <c r="AF20" i="14"/>
  <c r="AE6" i="14"/>
  <c r="AB6" i="14"/>
  <c r="Y6" i="14"/>
  <c r="V6" i="14"/>
  <c r="S6" i="14"/>
  <c r="P6" i="14"/>
  <c r="M6" i="14"/>
  <c r="G6" i="14"/>
  <c r="D6" i="14"/>
  <c r="Y36" i="14" l="1"/>
  <c r="AO37" i="14"/>
  <c r="BE37" i="14"/>
  <c r="BI20" i="14"/>
  <c r="J36" i="14"/>
  <c r="AZ36" i="14"/>
  <c r="BL20" i="14"/>
  <c r="B37" i="14"/>
  <c r="AX37" i="14"/>
  <c r="BJ37" i="14"/>
  <c r="Y20" i="14"/>
  <c r="CD20" i="14"/>
  <c r="BL36" i="14"/>
  <c r="AZ20" i="14"/>
  <c r="J20" i="14"/>
  <c r="CY36" i="14"/>
  <c r="CY20" i="14"/>
  <c r="BM37" i="14"/>
  <c r="AF37" i="14"/>
  <c r="C37" i="14"/>
  <c r="AY37" i="14"/>
  <c r="BK37" i="14"/>
  <c r="CB37" i="14"/>
  <c r="AL37" i="14"/>
  <c r="CC37" i="14"/>
  <c r="H37" i="14"/>
  <c r="W37" i="14"/>
  <c r="X37" i="14"/>
  <c r="BP37" i="14"/>
  <c r="BQ37" i="14"/>
  <c r="S36" i="14"/>
  <c r="D36" i="14"/>
  <c r="D20" i="14"/>
  <c r="E37" i="14"/>
  <c r="K37" i="14"/>
  <c r="L37" i="14"/>
  <c r="M20" i="14"/>
  <c r="M36" i="14"/>
  <c r="V36" i="14"/>
  <c r="P36" i="14"/>
  <c r="P20" i="14"/>
  <c r="O37" i="14"/>
  <c r="N37" i="14"/>
  <c r="T37" i="14"/>
  <c r="V20" i="14"/>
  <c r="AB20" i="14"/>
  <c r="AA37" i="14"/>
  <c r="Z37" i="14"/>
  <c r="AN36" i="14"/>
  <c r="AH36" i="14"/>
  <c r="AM37" i="14"/>
  <c r="AN20" i="14"/>
  <c r="AT20" i="14"/>
  <c r="AR37" i="14"/>
  <c r="AS37" i="14"/>
  <c r="AQ36" i="14"/>
  <c r="AT36" i="14"/>
  <c r="BI36" i="14"/>
  <c r="BF36" i="14"/>
  <c r="BC36" i="14"/>
  <c r="BA37" i="14"/>
  <c r="BB37" i="14"/>
  <c r="BC20" i="14"/>
  <c r="BD37" i="14"/>
  <c r="BF20" i="14"/>
  <c r="BG37" i="14"/>
  <c r="BH37" i="14"/>
  <c r="BO20" i="14"/>
  <c r="BN37" i="14"/>
  <c r="BU20" i="14"/>
  <c r="BS37" i="14"/>
  <c r="BT37" i="14"/>
  <c r="BO36" i="14"/>
  <c r="BU36" i="14"/>
  <c r="CG36" i="14"/>
  <c r="BX36" i="14"/>
  <c r="BX20" i="14"/>
  <c r="CG20" i="14"/>
  <c r="CJ20" i="14"/>
  <c r="CM20" i="14"/>
  <c r="CK37" i="14"/>
  <c r="CM36" i="14"/>
  <c r="CL37" i="14"/>
  <c r="CO37" i="14"/>
  <c r="CP20" i="14"/>
  <c r="CP36" i="14"/>
  <c r="CN37" i="14"/>
  <c r="CS36" i="14"/>
  <c r="CR37" i="14"/>
  <c r="CS20" i="14"/>
  <c r="AD37" i="14"/>
  <c r="AE36" i="14"/>
  <c r="AE20" i="14"/>
  <c r="AC37" i="14"/>
  <c r="AI37" i="14"/>
  <c r="AK36" i="14"/>
  <c r="AK20" i="14"/>
  <c r="AJ37" i="14"/>
  <c r="AJ19" i="16"/>
  <c r="AJ11" i="16"/>
  <c r="AJ15" i="16"/>
  <c r="AV37" i="14"/>
  <c r="BR37" i="14"/>
  <c r="BV37" i="14"/>
  <c r="AG37" i="14"/>
  <c r="CD37" i="14"/>
  <c r="Q37" i="14"/>
  <c r="CJ36" i="14"/>
  <c r="AU37" i="14"/>
  <c r="F37" i="14"/>
  <c r="AP37" i="14"/>
  <c r="AQ19" i="14"/>
  <c r="AQ20" i="14" s="1"/>
  <c r="BW20" i="14"/>
  <c r="BW37" i="14" s="1"/>
  <c r="AH6" i="14"/>
  <c r="AH20" i="14" s="1"/>
  <c r="CI20" i="14"/>
  <c r="CQ20" i="14"/>
  <c r="CQ37" i="14" s="1"/>
  <c r="AB32" i="14"/>
  <c r="AB36" i="14" s="1"/>
  <c r="U20" i="14"/>
  <c r="U37" i="14" s="1"/>
  <c r="R36" i="14"/>
  <c r="R37" i="14" s="1"/>
  <c r="G18" i="14"/>
  <c r="G20" i="14" s="1"/>
  <c r="AW15" i="14"/>
  <c r="AW20" i="14" s="1"/>
  <c r="S19" i="14"/>
  <c r="S20" i="14" s="1"/>
  <c r="AW30" i="14"/>
  <c r="AW36" i="14" s="1"/>
  <c r="CI36" i="14"/>
  <c r="G34" i="14"/>
  <c r="G36" i="14" s="1"/>
  <c r="BL37" i="14" l="1"/>
  <c r="J37" i="14"/>
  <c r="Y37" i="14"/>
  <c r="AZ37" i="14"/>
  <c r="CJ37" i="14"/>
  <c r="M37" i="14"/>
  <c r="V37" i="14"/>
  <c r="BI37" i="14"/>
  <c r="AQ37" i="14"/>
  <c r="BF37" i="14"/>
  <c r="P37" i="14"/>
  <c r="D37" i="14"/>
  <c r="CY37" i="14"/>
  <c r="BX37" i="14"/>
  <c r="AH37" i="14"/>
  <c r="AB37" i="14"/>
  <c r="BC37" i="14"/>
  <c r="CM37" i="14"/>
  <c r="S37" i="14"/>
  <c r="G37" i="14"/>
  <c r="AN37" i="14"/>
  <c r="AT37" i="14"/>
  <c r="AW37" i="14"/>
  <c r="BO37" i="14"/>
  <c r="BU37" i="14"/>
  <c r="CG37" i="14"/>
  <c r="CP37" i="14"/>
  <c r="CS37" i="14"/>
  <c r="AE37" i="14"/>
  <c r="AK37" i="14"/>
  <c r="CI37" i="14"/>
  <c r="EA15" i="2" l="1"/>
  <c r="DZ15" i="2"/>
  <c r="DY15" i="2"/>
  <c r="DX15" i="2"/>
  <c r="DW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FO15" i="2"/>
  <c r="FN15" i="2"/>
  <c r="FM15" i="2"/>
  <c r="FL15" i="2"/>
  <c r="FK15" i="2"/>
  <c r="FJ15" i="2"/>
  <c r="FI15" i="2"/>
  <c r="FH15" i="2"/>
  <c r="FG15" i="2"/>
  <c r="FF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Z11" i="3"/>
  <c r="BZ10" i="3"/>
  <c r="BZ9" i="3"/>
  <c r="BZ8" i="3"/>
  <c r="BZ7" i="3"/>
  <c r="BZ6" i="3"/>
  <c r="BZ5" i="3"/>
  <c r="AI23" i="7" l="1"/>
  <c r="AI25" i="7" s="1"/>
  <c r="AH23" i="7"/>
  <c r="AH25" i="7" s="1"/>
  <c r="AG23" i="7"/>
  <c r="AG25" i="7" s="1"/>
  <c r="AF23" i="7"/>
  <c r="AF25" i="7" s="1"/>
  <c r="AE23" i="7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J23" i="7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C25" i="7" s="1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5" i="7" s="1"/>
  <c r="B21" i="7"/>
  <c r="B15" i="7"/>
  <c r="AJ28" i="8"/>
  <c r="AJ27" i="8"/>
  <c r="AJ26" i="8"/>
  <c r="AJ23" i="8"/>
  <c r="AJ22" i="8"/>
  <c r="AJ20" i="8"/>
  <c r="AJ19" i="8"/>
  <c r="AJ17" i="8"/>
  <c r="AJ16" i="8"/>
  <c r="AJ15" i="8"/>
  <c r="AJ13" i="8"/>
  <c r="AJ12" i="8"/>
  <c r="AJ8" i="8"/>
  <c r="AJ7" i="8"/>
  <c r="AJ6" i="8"/>
  <c r="AJ5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I21" i="8"/>
  <c r="AH21" i="8"/>
  <c r="AH25" i="8" s="1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I25" i="8" s="1"/>
  <c r="H21" i="8"/>
  <c r="G21" i="8"/>
  <c r="F21" i="8"/>
  <c r="E21" i="8"/>
  <c r="D21" i="8"/>
  <c r="C21" i="8"/>
  <c r="AI14" i="8"/>
  <c r="AG14" i="8"/>
  <c r="AD14" i="8"/>
  <c r="AA14" i="8"/>
  <c r="Z14" i="8"/>
  <c r="Y14" i="8"/>
  <c r="V14" i="8"/>
  <c r="U14" i="8"/>
  <c r="T14" i="8"/>
  <c r="S14" i="8"/>
  <c r="R14" i="8"/>
  <c r="Q14" i="8"/>
  <c r="P14" i="8"/>
  <c r="O14" i="8"/>
  <c r="N14" i="8"/>
  <c r="K14" i="8"/>
  <c r="J14" i="8"/>
  <c r="I14" i="8"/>
  <c r="H14" i="8"/>
  <c r="G14" i="8"/>
  <c r="E14" i="8"/>
  <c r="C14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14" i="8"/>
  <c r="B9" i="8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V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82" i="9"/>
  <c r="B81" i="9"/>
  <c r="B78" i="9"/>
  <c r="AI100" i="10"/>
  <c r="AH100" i="10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3" i="11"/>
  <c r="B70" i="11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CX14" i="3"/>
  <c r="CU14" i="3"/>
  <c r="CR14" i="3"/>
  <c r="CO14" i="3"/>
  <c r="CL14" i="3"/>
  <c r="CI14" i="3"/>
  <c r="CF14" i="3"/>
  <c r="CC14" i="3"/>
  <c r="BW14" i="3"/>
  <c r="BT14" i="3"/>
  <c r="BQ14" i="3"/>
  <c r="BN14" i="3"/>
  <c r="BH14" i="3"/>
  <c r="BE14" i="3"/>
  <c r="BB14" i="3"/>
  <c r="AY14" i="3"/>
  <c r="AV14" i="3"/>
  <c r="AS14" i="3"/>
  <c r="AP14" i="3"/>
  <c r="AM14" i="3"/>
  <c r="AG14" i="3"/>
  <c r="AD14" i="3"/>
  <c r="AA14" i="3"/>
  <c r="X14" i="3"/>
  <c r="R14" i="3"/>
  <c r="O14" i="3"/>
  <c r="L14" i="3"/>
  <c r="I14" i="3"/>
  <c r="F14" i="3"/>
  <c r="C14" i="3"/>
  <c r="CX13" i="3"/>
  <c r="CU13" i="3"/>
  <c r="CR13" i="3"/>
  <c r="CO13" i="3"/>
  <c r="CL13" i="3"/>
  <c r="CI13" i="3"/>
  <c r="CF13" i="3"/>
  <c r="CC13" i="3"/>
  <c r="BW13" i="3"/>
  <c r="BT13" i="3"/>
  <c r="BQ13" i="3"/>
  <c r="BN13" i="3"/>
  <c r="BH13" i="3"/>
  <c r="BE13" i="3"/>
  <c r="BB13" i="3"/>
  <c r="AY13" i="3"/>
  <c r="AV13" i="3"/>
  <c r="AS13" i="3"/>
  <c r="AP13" i="3"/>
  <c r="AM13" i="3"/>
  <c r="AG13" i="3"/>
  <c r="AD13" i="3"/>
  <c r="AA13" i="3"/>
  <c r="X13" i="3"/>
  <c r="R13" i="3"/>
  <c r="O13" i="3"/>
  <c r="L13" i="3"/>
  <c r="I13" i="3"/>
  <c r="F13" i="3"/>
  <c r="C13" i="3"/>
  <c r="CX12" i="3"/>
  <c r="CU12" i="3"/>
  <c r="CR12" i="3"/>
  <c r="CO12" i="3"/>
  <c r="CL12" i="3"/>
  <c r="CI12" i="3"/>
  <c r="CF12" i="3"/>
  <c r="CC12" i="3"/>
  <c r="BW12" i="3"/>
  <c r="BT12" i="3"/>
  <c r="BQ12" i="3"/>
  <c r="BN12" i="3"/>
  <c r="BH12" i="3"/>
  <c r="BE12" i="3"/>
  <c r="BB12" i="3"/>
  <c r="AY12" i="3"/>
  <c r="AV12" i="3"/>
  <c r="AS12" i="3"/>
  <c r="AP12" i="3"/>
  <c r="AM12" i="3"/>
  <c r="AG12" i="3"/>
  <c r="AD12" i="3"/>
  <c r="AA12" i="3"/>
  <c r="X12" i="3"/>
  <c r="R12" i="3"/>
  <c r="O12" i="3"/>
  <c r="L12" i="3"/>
  <c r="I12" i="3"/>
  <c r="F12" i="3"/>
  <c r="C12" i="3"/>
  <c r="CX11" i="3"/>
  <c r="CU11" i="3"/>
  <c r="CR11" i="3"/>
  <c r="CO11" i="3"/>
  <c r="CL11" i="3"/>
  <c r="CI11" i="3"/>
  <c r="CF11" i="3"/>
  <c r="CC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G11" i="3"/>
  <c r="AD11" i="3"/>
  <c r="AA11" i="3"/>
  <c r="X11" i="3"/>
  <c r="R11" i="3"/>
  <c r="O11" i="3"/>
  <c r="L11" i="3"/>
  <c r="I11" i="3"/>
  <c r="F11" i="3"/>
  <c r="C11" i="3"/>
  <c r="CX10" i="3"/>
  <c r="CU10" i="3"/>
  <c r="CR10" i="3"/>
  <c r="CO10" i="3"/>
  <c r="CL10" i="3"/>
  <c r="CI10" i="3"/>
  <c r="CF10" i="3"/>
  <c r="CC10" i="3"/>
  <c r="BW10" i="3"/>
  <c r="BT10" i="3"/>
  <c r="BQ10" i="3"/>
  <c r="BN10" i="3"/>
  <c r="BH10" i="3"/>
  <c r="BE10" i="3"/>
  <c r="BB10" i="3"/>
  <c r="AY10" i="3"/>
  <c r="AV10" i="3"/>
  <c r="AS10" i="3"/>
  <c r="AP10" i="3"/>
  <c r="AM10" i="3"/>
  <c r="AG10" i="3"/>
  <c r="AD10" i="3"/>
  <c r="AA10" i="3"/>
  <c r="X10" i="3"/>
  <c r="R10" i="3"/>
  <c r="O10" i="3"/>
  <c r="L10" i="3"/>
  <c r="I10" i="3"/>
  <c r="F10" i="3"/>
  <c r="C10" i="3"/>
  <c r="CX9" i="3"/>
  <c r="CU9" i="3"/>
  <c r="CR9" i="3"/>
  <c r="CO9" i="3"/>
  <c r="CL9" i="3"/>
  <c r="CI9" i="3"/>
  <c r="CF9" i="3"/>
  <c r="CC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G9" i="3"/>
  <c r="AD9" i="3"/>
  <c r="AA9" i="3"/>
  <c r="X9" i="3"/>
  <c r="R9" i="3"/>
  <c r="O9" i="3"/>
  <c r="L9" i="3"/>
  <c r="I9" i="3"/>
  <c r="F9" i="3"/>
  <c r="C9" i="3"/>
  <c r="CX8" i="3"/>
  <c r="CU8" i="3"/>
  <c r="CR8" i="3"/>
  <c r="CO8" i="3"/>
  <c r="CL8" i="3"/>
  <c r="CI8" i="3"/>
  <c r="CF8" i="3"/>
  <c r="CC8" i="3"/>
  <c r="BW8" i="3"/>
  <c r="BT8" i="3"/>
  <c r="BQ8" i="3"/>
  <c r="BN8" i="3"/>
  <c r="BH8" i="3"/>
  <c r="BE8" i="3"/>
  <c r="BB8" i="3"/>
  <c r="AY8" i="3"/>
  <c r="AV8" i="3"/>
  <c r="AS8" i="3"/>
  <c r="AP8" i="3"/>
  <c r="AM8" i="3"/>
  <c r="AG8" i="3"/>
  <c r="AD8" i="3"/>
  <c r="AA8" i="3"/>
  <c r="X8" i="3"/>
  <c r="R8" i="3"/>
  <c r="O8" i="3"/>
  <c r="L8" i="3"/>
  <c r="I8" i="3"/>
  <c r="F8" i="3"/>
  <c r="C8" i="3"/>
  <c r="CX7" i="3"/>
  <c r="CU7" i="3"/>
  <c r="CR7" i="3"/>
  <c r="CO7" i="3"/>
  <c r="CL7" i="3"/>
  <c r="CI7" i="3"/>
  <c r="CF7" i="3"/>
  <c r="CC7" i="3"/>
  <c r="BW7" i="3"/>
  <c r="BT7" i="3"/>
  <c r="BQ7" i="3"/>
  <c r="BN7" i="3"/>
  <c r="BH7" i="3"/>
  <c r="BE7" i="3"/>
  <c r="BB7" i="3"/>
  <c r="AY7" i="3"/>
  <c r="AV7" i="3"/>
  <c r="AS7" i="3"/>
  <c r="AP7" i="3"/>
  <c r="AM7" i="3"/>
  <c r="AG7" i="3"/>
  <c r="AD7" i="3"/>
  <c r="AA7" i="3"/>
  <c r="X7" i="3"/>
  <c r="R7" i="3"/>
  <c r="O7" i="3"/>
  <c r="L7" i="3"/>
  <c r="I7" i="3"/>
  <c r="F7" i="3"/>
  <c r="C7" i="3"/>
  <c r="CX6" i="3"/>
  <c r="CU6" i="3"/>
  <c r="CR6" i="3"/>
  <c r="CO6" i="3"/>
  <c r="CL6" i="3"/>
  <c r="CI6" i="3"/>
  <c r="CF6" i="3"/>
  <c r="CC6" i="3"/>
  <c r="BW6" i="3"/>
  <c r="BT6" i="3"/>
  <c r="BQ6" i="3"/>
  <c r="BN6" i="3"/>
  <c r="BH6" i="3"/>
  <c r="BE6" i="3"/>
  <c r="BB6" i="3"/>
  <c r="AY6" i="3"/>
  <c r="AV6" i="3"/>
  <c r="AS6" i="3"/>
  <c r="AP6" i="3"/>
  <c r="AM6" i="3"/>
  <c r="AG6" i="3"/>
  <c r="AD6" i="3"/>
  <c r="AA6" i="3"/>
  <c r="X6" i="3"/>
  <c r="R6" i="3"/>
  <c r="O6" i="3"/>
  <c r="L6" i="3"/>
  <c r="I6" i="3"/>
  <c r="F6" i="3"/>
  <c r="C6" i="3"/>
  <c r="CX5" i="3"/>
  <c r="CU5" i="3"/>
  <c r="CR5" i="3"/>
  <c r="CO5" i="3"/>
  <c r="CL5" i="3"/>
  <c r="CI5" i="3"/>
  <c r="CF5" i="3"/>
  <c r="CC5" i="3"/>
  <c r="BW5" i="3"/>
  <c r="BT5" i="3"/>
  <c r="BQ5" i="3"/>
  <c r="BN5" i="3"/>
  <c r="BH5" i="3"/>
  <c r="BE5" i="3"/>
  <c r="BB5" i="3"/>
  <c r="AY5" i="3"/>
  <c r="AV5" i="3"/>
  <c r="AS5" i="3"/>
  <c r="AP5" i="3"/>
  <c r="AM5" i="3"/>
  <c r="AG5" i="3"/>
  <c r="AD5" i="3"/>
  <c r="AA5" i="3"/>
  <c r="X5" i="3"/>
  <c r="U5" i="3"/>
  <c r="R5" i="3"/>
  <c r="O5" i="3"/>
  <c r="L5" i="3"/>
  <c r="I5" i="3"/>
  <c r="F5" i="3"/>
  <c r="C5" i="3"/>
  <c r="V25" i="8" l="1"/>
  <c r="D25" i="8"/>
  <c r="BS15" i="12"/>
  <c r="BR15" i="12"/>
  <c r="BR70" i="11"/>
  <c r="BS73" i="11"/>
  <c r="BR73" i="11"/>
  <c r="BS70" i="11"/>
  <c r="BS100" i="10"/>
  <c r="BR100" i="10"/>
  <c r="BS94" i="10"/>
  <c r="BR94" i="10"/>
  <c r="BS82" i="9"/>
  <c r="BR82" i="9"/>
  <c r="BS81" i="9"/>
  <c r="BR81" i="9"/>
  <c r="BS78" i="9"/>
  <c r="BR78" i="9"/>
  <c r="B25" i="8"/>
  <c r="AG25" i="8"/>
  <c r="K25" i="7"/>
  <c r="J25" i="7"/>
  <c r="Q25" i="8"/>
  <c r="T25" i="8"/>
  <c r="G25" i="8"/>
  <c r="O25" i="8"/>
  <c r="C25" i="8"/>
  <c r="K25" i="8"/>
  <c r="S25" i="8"/>
  <c r="X25" i="8"/>
  <c r="M25" i="8"/>
  <c r="AE25" i="8"/>
  <c r="AA25" i="8"/>
  <c r="Z25" i="8"/>
  <c r="W25" i="8"/>
  <c r="U25" i="8"/>
  <c r="H25" i="8"/>
  <c r="E25" i="8"/>
  <c r="AI25" i="8"/>
  <c r="AF25" i="8"/>
  <c r="AD25" i="8"/>
  <c r="AC25" i="8"/>
  <c r="AB25" i="8"/>
  <c r="Y25" i="8"/>
  <c r="R25" i="8"/>
  <c r="P25" i="8"/>
  <c r="N25" i="8"/>
  <c r="L25" i="8"/>
  <c r="J25" i="8"/>
  <c r="AJ14" i="8"/>
  <c r="AJ24" i="8"/>
  <c r="F25" i="8"/>
  <c r="AJ21" i="8"/>
  <c r="AJ25" i="8" l="1"/>
  <c r="B15" i="6"/>
  <c r="B12" i="6"/>
  <c r="AJ13" i="18"/>
  <c r="AJ12" i="18"/>
  <c r="AJ11" i="18"/>
  <c r="AJ10" i="18"/>
  <c r="AJ9" i="18"/>
  <c r="AJ8" i="18"/>
  <c r="AJ7" i="18"/>
  <c r="AJ6" i="18"/>
  <c r="AJ5" i="18"/>
  <c r="AJ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U14" i="18"/>
  <c r="T14" i="18"/>
  <c r="S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J16" i="17"/>
  <c r="AJ14" i="17"/>
  <c r="AJ13" i="17"/>
  <c r="AJ12" i="17"/>
  <c r="AJ11" i="17"/>
  <c r="AJ10" i="17"/>
  <c r="AJ9" i="17"/>
  <c r="AJ8" i="17"/>
  <c r="AJ7" i="17"/>
  <c r="AJ6" i="17"/>
  <c r="AJ5" i="17"/>
  <c r="AJ4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J31" i="15"/>
  <c r="AJ30" i="15"/>
  <c r="AJ27" i="15"/>
  <c r="AJ26" i="15"/>
  <c r="AJ25" i="15"/>
  <c r="AJ24" i="15"/>
  <c r="AJ23" i="15"/>
  <c r="AJ22" i="15"/>
  <c r="AJ21" i="15"/>
  <c r="AJ18" i="15"/>
  <c r="AJ17" i="15"/>
  <c r="AJ16" i="15"/>
  <c r="AJ15" i="15"/>
  <c r="AJ14" i="15"/>
  <c r="AJ11" i="15"/>
  <c r="AJ10" i="15"/>
  <c r="AJ9" i="15"/>
  <c r="AJ8" i="15"/>
  <c r="AJ7" i="15"/>
  <c r="AJ6" i="15"/>
  <c r="AJ5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J11" i="13"/>
  <c r="AJ10" i="13"/>
  <c r="AJ8" i="13"/>
  <c r="AJ7" i="13"/>
  <c r="AJ6" i="13"/>
  <c r="AJ5" i="13"/>
  <c r="AJ4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J32" i="15" l="1"/>
  <c r="AJ19" i="15"/>
  <c r="AJ28" i="15"/>
  <c r="AJ12" i="15"/>
  <c r="AJ15" i="17"/>
  <c r="AJ9" i="13"/>
  <c r="BP7" i="1"/>
  <c r="BL7" i="1"/>
  <c r="BH7" i="1"/>
  <c r="BF7" i="1"/>
  <c r="BD7" i="1"/>
  <c r="BB7" i="1"/>
  <c r="AZ7" i="1"/>
  <c r="AX7" i="1"/>
  <c r="AV7" i="1"/>
  <c r="AT7" i="1"/>
  <c r="AR7" i="1"/>
  <c r="AN7" i="1"/>
  <c r="AL7" i="1"/>
  <c r="AJ7" i="1"/>
  <c r="AH7" i="1"/>
  <c r="AF7" i="1"/>
  <c r="AD7" i="1"/>
  <c r="AB7" i="1"/>
  <c r="Z7" i="1"/>
  <c r="X7" i="1"/>
  <c r="T7" i="1"/>
  <c r="R7" i="1"/>
  <c r="P7" i="1"/>
  <c r="N7" i="1"/>
  <c r="L7" i="1"/>
  <c r="B7" i="1"/>
  <c r="BP15" i="1" l="1"/>
  <c r="BL15" i="1"/>
  <c r="BH15" i="1"/>
  <c r="BF15" i="1"/>
  <c r="BD15" i="1"/>
  <c r="BB15" i="1"/>
  <c r="AZ15" i="1"/>
  <c r="AX15" i="1"/>
  <c r="AV15" i="1"/>
  <c r="AT15" i="1"/>
  <c r="AR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B15" i="1"/>
  <c r="BP13" i="1"/>
  <c r="BL13" i="1"/>
  <c r="BH13" i="1"/>
  <c r="BF13" i="1"/>
  <c r="BD13" i="1"/>
  <c r="BB13" i="1"/>
  <c r="AZ13" i="1"/>
  <c r="AX13" i="1"/>
  <c r="AV13" i="1"/>
  <c r="AT13" i="1"/>
  <c r="AR13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B13" i="1"/>
  <c r="AJ12" i="3" l="1"/>
  <c r="AJ5" i="3"/>
  <c r="AJ10" i="3"/>
  <c r="AJ14" i="3"/>
  <c r="AJ6" i="3"/>
  <c r="AJ7" i="3"/>
  <c r="AJ8" i="3"/>
  <c r="AJ9" i="3"/>
  <c r="AJ13" i="3"/>
  <c r="AJ11" i="3"/>
  <c r="BK8" i="3"/>
  <c r="BK5" i="3"/>
  <c r="BK7" i="3"/>
  <c r="BK6" i="3"/>
  <c r="BK10" i="3"/>
  <c r="BK14" i="3"/>
  <c r="BK13" i="3"/>
  <c r="BK12" i="3"/>
  <c r="BR7" i="1"/>
  <c r="AQ7" i="1"/>
  <c r="BS7" i="1" s="1"/>
  <c r="BS9" i="1"/>
  <c r="BR9" i="1"/>
  <c r="AP7" i="1"/>
  <c r="BS13" i="1"/>
  <c r="BR14" i="1"/>
  <c r="AP13" i="1"/>
  <c r="BR13" i="1" s="1"/>
  <c r="AP15" i="1"/>
  <c r="BR15" i="1"/>
  <c r="BS14" i="1"/>
  <c r="AQ13" i="1"/>
  <c r="AQ15" i="1"/>
  <c r="BS15" i="1" s="1"/>
  <c r="BS16" i="7"/>
  <c r="BR16" i="7"/>
  <c r="AQ15" i="7"/>
  <c r="BS15" i="7" s="1"/>
  <c r="AP15" i="7"/>
  <c r="BR15" i="7" s="1"/>
  <c r="BS21" i="7"/>
  <c r="BS22" i="7"/>
  <c r="BR22" i="7"/>
  <c r="AP21" i="7"/>
  <c r="BR21" i="7" s="1"/>
  <c r="AP23" i="7"/>
  <c r="AP25" i="7" s="1"/>
  <c r="BR25" i="7" s="1"/>
  <c r="AQ21" i="7"/>
  <c r="AQ23" i="7"/>
  <c r="BS23" i="7" s="1"/>
  <c r="AQ25" i="7"/>
  <c r="BS25" i="7" s="1"/>
  <c r="BR23" i="7" l="1"/>
  <c r="AJ10" i="8"/>
  <c r="V9" i="8"/>
  <c r="AJ9" i="8" s="1"/>
  <c r="AJ15" i="18"/>
  <c r="V14" i="18"/>
  <c r="AJ14" i="18" s="1"/>
</calcChain>
</file>

<file path=xl/sharedStrings.xml><?xml version="1.0" encoding="utf-8"?>
<sst xmlns="http://schemas.openxmlformats.org/spreadsheetml/2006/main" count="5075" uniqueCount="307">
  <si>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</si>
  <si>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</si>
  <si>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</si>
  <si>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</si>
  <si>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</si>
  <si>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</si>
  <si>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</si>
  <si>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</si>
  <si>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</si>
  <si>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</si>
  <si>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</si>
  <si>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</si>
  <si>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</si>
  <si>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</si>
  <si>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</si>
  <si>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</si>
  <si>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</si>
  <si>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</si>
  <si>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</si>
  <si>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</si>
  <si>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</si>
  <si>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</si>
  <si>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</si>
  <si>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</si>
  <si>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</si>
  <si>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</si>
  <si>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Reliance Health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</si>
  <si>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</si>
  <si>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</si>
  <si>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</si>
  <si>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</si>
  <si>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</si>
  <si>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</si>
  <si>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</si>
  <si>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</si>
  <si>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</si>
  <si>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</si>
  <si>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</si>
  <si>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</si>
  <si>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</si>
  <si>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</si>
  <si>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</si>
  <si>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</si>
  <si>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</si>
  <si>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</si>
  <si>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</si>
  <si>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</si>
  <si>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</si>
  <si>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</si>
  <si>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</si>
  <si>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</si>
  <si>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</si>
  <si>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</si>
  <si>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</si>
  <si>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</si>
  <si>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</si>
  <si>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</si>
  <si>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</si>
  <si>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</si>
  <si>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</si>
  <si>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</si>
  <si>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</si>
  <si>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</si>
  <si>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</si>
  <si>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</si>
  <si>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</si>
  <si>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</si>
  <si>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</si>
  <si>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</si>
  <si>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</si>
  <si>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</si>
  <si>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</si>
  <si>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</si>
  <si>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</si>
  <si>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</si>
  <si>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</si>
  <si>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</si>
  <si>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</si>
  <si>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</si>
  <si>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</si>
  <si>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</si>
  <si>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</si>
  <si>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</si>
  <si>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</si>
  <si>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</si>
  <si>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</si>
  <si>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</si>
  <si>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</si>
  <si>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</si>
  <si>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</si>
  <si>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</si>
  <si>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</si>
  <si>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</si>
  <si>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</si>
  <si>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</si>
  <si>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</si>
  <si>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</si>
  <si>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</si>
  <si>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</si>
  <si>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</si>
  <si>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</si>
  <si>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</si>
  <si>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</si>
  <si>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</si>
  <si>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</si>
  <si>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</si>
  <si>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</si>
  <si>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</si>
  <si>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</si>
  <si>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</si>
  <si>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</si>
  <si>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</si>
  <si>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</si>
  <si>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</si>
  <si>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</si>
  <si>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</si>
  <si>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</si>
  <si>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</si>
  <si>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</si>
  <si>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</si>
  <si>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</si>
  <si>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</si>
  <si>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</si>
  <si>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</si>
  <si>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</si>
  <si>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</si>
  <si>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</si>
  <si>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</si>
  <si>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</si>
  <si>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</si>
  <si>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</si>
  <si>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</si>
  <si>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</si>
  <si>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</si>
  <si>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</si>
  <si>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</si>
  <si>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</si>
  <si>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</si>
  <si>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</si>
  <si>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</si>
  <si>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</si>
  <si>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</si>
  <si>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</si>
  <si>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</si>
  <si>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</si>
  <si>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</si>
  <si>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</si>
  <si>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</si>
  <si>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</si>
  <si>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</si>
  <si>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</si>
  <si>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</si>
  <si>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</si>
  <si>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</si>
  <si>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</si>
  <si>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</si>
  <si>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</si>
  <si>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</si>
  <si>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</si>
  <si>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</si>
  <si>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</si>
  <si>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</si>
  <si>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</si>
  <si>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</si>
  <si>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</si>
  <si>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</si>
  <si>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</si>
  <si>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</si>
  <si>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</si>
  <si>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</si>
  <si>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</si>
  <si>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</si>
  <si>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</si>
  <si>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</si>
  <si>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</si>
  <si>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</si>
  <si>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</si>
  <si>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</si>
  <si>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</si>
  <si>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</si>
  <si>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</si>
  <si>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</si>
  <si>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</si>
  <si>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</si>
  <si>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</si>
  <si>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</si>
  <si>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</si>
  <si>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</si>
  <si>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</si>
  <si>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</si>
  <si>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</si>
  <si>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</si>
  <si>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</si>
  <si>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</si>
  <si>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</si>
  <si>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</si>
  <si>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</si>
  <si>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</si>
  <si>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</si>
  <si>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</si>
  <si>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</si>
  <si>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</si>
  <si>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</si>
  <si>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</si>
  <si>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</si>
  <si>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</si>
  <si>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</si>
  <si>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</si>
  <si>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</si>
  <si>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</si>
  <si>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</si>
  <si>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</si>
  <si>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</si>
  <si>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</si>
  <si>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</si>
  <si>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</si>
  <si>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</si>
  <si>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</si>
  <si>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</si>
  <si>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</si>
  <si>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</si>
  <si>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</si>
  <si>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</si>
  <si>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</si>
  <si>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</si>
  <si>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</si>
  <si>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</si>
  <si>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</si>
  <si>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</si>
  <si>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</si>
  <si>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</si>
  <si>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</si>
  <si>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</si>
  <si>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</si>
  <si>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</si>
  <si>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</si>
  <si>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</si>
  <si>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</si>
  <si>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</si>
  <si>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</si>
  <si>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</si>
  <si>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</si>
  <si>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</si>
  <si>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</si>
  <si>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</si>
  <si>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</si>
  <si>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</si>
  <si>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</si>
  <si>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</si>
  <si>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</si>
  <si>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</si>
  <si>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</si>
  <si>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</si>
  <si>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</si>
  <si>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</si>
  <si>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</si>
  <si>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</si>
  <si>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</si>
  <si>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</si>
  <si>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</si>
  <si>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</si>
  <si>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</si>
  <si>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</si>
  <si>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</si>
  <si>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</si>
  <si>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</si>
  <si>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</si>
  <si>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</si>
  <si>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</si>
  <si>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</si>
  <si>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</si>
  <si>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</si>
  <si>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</si>
  <si>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</si>
  <si>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</si>
  <si>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</si>
  <si>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</si>
  <si>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</si>
  <si>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</si>
  <si>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</si>
  <si>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</si>
  <si>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</si>
  <si>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</si>
  <si>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</si>
  <si>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</si>
  <si>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</si>
  <si>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</si>
  <si>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</si>
  <si>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</si>
  <si>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</si>
  <si>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</si>
  <si>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</si>
  <si>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</si>
  <si>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</si>
  <si>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>Net Claims Paid</t>
  </si>
  <si>
    <t>For Q2 2019-20</t>
  </si>
  <si>
    <t>Upto 6 months 2019-20</t>
  </si>
  <si>
    <t xml:space="preserve">NL-2 Profit and Loss Account </t>
  </si>
  <si>
    <t>NL-3 Balance Sheet as at 30 September 2019</t>
  </si>
  <si>
    <t>NL-10 Reserves and Surplus as at 30 September 2019</t>
  </si>
  <si>
    <t>NL-12 Investments as at 30 September 2019</t>
  </si>
  <si>
    <t>NL-13 Loans as at 30 September 2019</t>
  </si>
  <si>
    <t>NL-14 Fixed Assets. Net Block as at 30 September 2019</t>
  </si>
  <si>
    <t>NL-15 Cash and Bank Balance as at 30 September 2019</t>
  </si>
  <si>
    <t>NL-17 Current Liabilities as at 30 September 2019</t>
  </si>
  <si>
    <t>NL-25 Quarterly Claims Data (Q2)</t>
  </si>
  <si>
    <t>NL-33 Solvency Margin KGII for the period ended 30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</si>
</sst>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43" fontId="11" fillId="0" borderId="0" applyFill="0" applyBorder="0" applyAlignment="0" applyProtection="0"/>
  </cellStyleXfs>
  <cellXfs count="129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5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9" fontId="0" fillId="0" borderId="1" xfId="1" applyFont="1" applyBorder="1"/>
    <xf numFmtId="9" fontId="2" fillId="0" borderId="1" xfId="1" applyFont="1" applyBorder="1"/>
    <xf numFmtId="164" fontId="0" fillId="0" borderId="1" xfId="1" applyNumberFormat="1" applyFont="1" applyBorder="1"/>
    <xf numFmtId="1" fontId="2" fillId="0" borderId="1" xfId="0" applyNumberFormat="1" applyFont="1" applyBorder="1" applyAlignment="1">
      <alignment vertical="center" wrapText="1"/>
    </xf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0" fontId="1" fillId="2" borderId="1" xfId="0" applyFont="1" applyFill="1" applyBorder="1"/>
    <xf numFmtId="0" fontId="6" fillId="2" borderId="1" xfId="0" applyFont="1" applyFill="1" applyBorder="1"/>
    <xf numFmtId="9" fontId="1" fillId="0" borderId="1" xfId="1" applyFont="1" applyBorder="1"/>
    <xf numFmtId="1" fontId="6" fillId="0" borderId="1" xfId="0" applyNumberFormat="1" applyFont="1" applyBorder="1"/>
    <xf numFmtId="1" fontId="0" fillId="0" borderId="0" xfId="0" applyNumberFormat="1"/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4" fontId="1" fillId="0" borderId="2" xfId="2" applyFont="1" applyBorder="1" applyAlignment="1">
      <alignment horizontal="center"/>
    </xf>
    <xf numFmtId="44" fontId="1" fillId="0" borderId="3" xfId="2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</cellXfs>
  <cellStyles count="6">
    <cellStyle name="Comma 2" xfId="3"/>
    <cellStyle name="Comma 3" xfId="5"/>
    <cellStyle name="Currency" xfId="2" builtinId="4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69" width="16" style="8" customWidth="1"/>
    <col min="70" max="70" width="16" style="46" customWidth="1"/>
    <col min="71" max="71" width="16" style="9" customWidth="1"/>
    <col min="72" max="16384" width="9.140625" style="8"/>
  </cols>
  <sheetData>
    <row r="1" spans="1:71" ht="18.75" x14ac:dyDescent="0.3">
      <c r="A1" s="6" t="s">
        <v>47</v>
      </c>
    </row>
    <row r="2" spans="1:71" x14ac:dyDescent="0.25">
      <c r="A2" s="7" t="s">
        <v>48</v>
      </c>
    </row>
    <row r="3" spans="1:71" x14ac:dyDescent="0.25">
      <c r="A3" s="1" t="s">
        <v>0</v>
      </c>
      <c r="B3" s="105" t="s">
        <v>1</v>
      </c>
      <c r="C3" s="106"/>
      <c r="D3" s="105" t="s">
        <v>2</v>
      </c>
      <c r="E3" s="106"/>
      <c r="F3" s="105" t="s">
        <v>3</v>
      </c>
      <c r="G3" s="106"/>
      <c r="H3" s="105" t="s">
        <v>4</v>
      </c>
      <c r="I3" s="106"/>
      <c r="J3" s="105" t="s">
        <v>5</v>
      </c>
      <c r="K3" s="106"/>
      <c r="L3" s="105" t="s">
        <v>6</v>
      </c>
      <c r="M3" s="106"/>
      <c r="N3" s="105" t="s">
        <v>7</v>
      </c>
      <c r="O3" s="106"/>
      <c r="P3" s="105" t="s">
        <v>8</v>
      </c>
      <c r="Q3" s="106"/>
      <c r="R3" s="105" t="s">
        <v>9</v>
      </c>
      <c r="S3" s="106"/>
      <c r="T3" s="105" t="s">
        <v>10</v>
      </c>
      <c r="U3" s="106"/>
      <c r="V3" s="105" t="s">
        <v>11</v>
      </c>
      <c r="W3" s="106"/>
      <c r="X3" s="105" t="s">
        <v>12</v>
      </c>
      <c r="Y3" s="106"/>
      <c r="Z3" s="105" t="s">
        <v>13</v>
      </c>
      <c r="AA3" s="106"/>
      <c r="AB3" s="105" t="s">
        <v>14</v>
      </c>
      <c r="AC3" s="106"/>
      <c r="AD3" s="105" t="s">
        <v>15</v>
      </c>
      <c r="AE3" s="106"/>
      <c r="AF3" s="105" t="s">
        <v>16</v>
      </c>
      <c r="AG3" s="106"/>
      <c r="AH3" s="105" t="s">
        <v>17</v>
      </c>
      <c r="AI3" s="106"/>
      <c r="AJ3" s="105" t="s">
        <v>18</v>
      </c>
      <c r="AK3" s="106"/>
      <c r="AL3" s="105" t="s">
        <v>19</v>
      </c>
      <c r="AM3" s="106"/>
      <c r="AN3" s="105" t="s">
        <v>20</v>
      </c>
      <c r="AO3" s="106"/>
      <c r="AP3" s="105" t="s">
        <v>21</v>
      </c>
      <c r="AQ3" s="106"/>
      <c r="AR3" s="105" t="s">
        <v>22</v>
      </c>
      <c r="AS3" s="106"/>
      <c r="AT3" s="105" t="s">
        <v>23</v>
      </c>
      <c r="AU3" s="106"/>
      <c r="AV3" s="105" t="s">
        <v>24</v>
      </c>
      <c r="AW3" s="106"/>
      <c r="AX3" s="105" t="s">
        <v>25</v>
      </c>
      <c r="AY3" s="106"/>
      <c r="AZ3" s="105" t="s">
        <v>26</v>
      </c>
      <c r="BA3" s="106"/>
      <c r="BB3" s="105" t="s">
        <v>27</v>
      </c>
      <c r="BC3" s="106"/>
      <c r="BD3" s="105" t="s">
        <v>28</v>
      </c>
      <c r="BE3" s="106"/>
      <c r="BF3" s="105" t="s">
        <v>29</v>
      </c>
      <c r="BG3" s="106"/>
      <c r="BH3" s="105" t="s">
        <v>30</v>
      </c>
      <c r="BI3" s="106"/>
      <c r="BJ3" s="105" t="s">
        <v>31</v>
      </c>
      <c r="BK3" s="106"/>
      <c r="BL3" s="105" t="s">
        <v>32</v>
      </c>
      <c r="BM3" s="106"/>
      <c r="BN3" s="109" t="s">
        <v>33</v>
      </c>
      <c r="BO3" s="110"/>
      <c r="BP3" s="105" t="s">
        <v>34</v>
      </c>
      <c r="BQ3" s="106"/>
      <c r="BR3" s="107" t="s">
        <v>35</v>
      </c>
      <c r="BS3" s="108"/>
    </row>
    <row r="4" spans="1:71" s="78" customFormat="1" ht="30" x14ac:dyDescent="0.25">
      <c r="A4" s="75"/>
      <c r="B4" s="76" t="s">
        <v>295</v>
      </c>
      <c r="C4" s="77" t="s">
        <v>296</v>
      </c>
      <c r="D4" s="76" t="s">
        <v>295</v>
      </c>
      <c r="E4" s="77" t="s">
        <v>296</v>
      </c>
      <c r="F4" s="76" t="s">
        <v>295</v>
      </c>
      <c r="G4" s="77" t="s">
        <v>296</v>
      </c>
      <c r="H4" s="76" t="s">
        <v>295</v>
      </c>
      <c r="I4" s="77" t="s">
        <v>296</v>
      </c>
      <c r="J4" s="76" t="s">
        <v>295</v>
      </c>
      <c r="K4" s="77" t="s">
        <v>296</v>
      </c>
      <c r="L4" s="76" t="s">
        <v>295</v>
      </c>
      <c r="M4" s="77" t="s">
        <v>296</v>
      </c>
      <c r="N4" s="76" t="s">
        <v>295</v>
      </c>
      <c r="O4" s="77" t="s">
        <v>296</v>
      </c>
      <c r="P4" s="76" t="s">
        <v>295</v>
      </c>
      <c r="Q4" s="77" t="s">
        <v>296</v>
      </c>
      <c r="R4" s="76" t="s">
        <v>295</v>
      </c>
      <c r="S4" s="77" t="s">
        <v>296</v>
      </c>
      <c r="T4" s="76" t="s">
        <v>295</v>
      </c>
      <c r="U4" s="77" t="s">
        <v>296</v>
      </c>
      <c r="V4" s="76" t="s">
        <v>295</v>
      </c>
      <c r="W4" s="77" t="s">
        <v>296</v>
      </c>
      <c r="X4" s="76" t="s">
        <v>295</v>
      </c>
      <c r="Y4" s="77" t="s">
        <v>296</v>
      </c>
      <c r="Z4" s="76" t="s">
        <v>295</v>
      </c>
      <c r="AA4" s="77" t="s">
        <v>296</v>
      </c>
      <c r="AB4" s="76" t="s">
        <v>295</v>
      </c>
      <c r="AC4" s="77" t="s">
        <v>296</v>
      </c>
      <c r="AD4" s="76" t="s">
        <v>295</v>
      </c>
      <c r="AE4" s="77" t="s">
        <v>296</v>
      </c>
      <c r="AF4" s="76" t="s">
        <v>295</v>
      </c>
      <c r="AG4" s="77" t="s">
        <v>296</v>
      </c>
      <c r="AH4" s="76" t="s">
        <v>295</v>
      </c>
      <c r="AI4" s="77" t="s">
        <v>296</v>
      </c>
      <c r="AJ4" s="76" t="s">
        <v>295</v>
      </c>
      <c r="AK4" s="77" t="s">
        <v>296</v>
      </c>
      <c r="AL4" s="76" t="s">
        <v>295</v>
      </c>
      <c r="AM4" s="77" t="s">
        <v>296</v>
      </c>
      <c r="AN4" s="76" t="s">
        <v>295</v>
      </c>
      <c r="AO4" s="77" t="s">
        <v>296</v>
      </c>
      <c r="AP4" s="76" t="s">
        <v>295</v>
      </c>
      <c r="AQ4" s="77" t="s">
        <v>296</v>
      </c>
      <c r="AR4" s="76" t="s">
        <v>295</v>
      </c>
      <c r="AS4" s="77" t="s">
        <v>296</v>
      </c>
      <c r="AT4" s="76" t="s">
        <v>295</v>
      </c>
      <c r="AU4" s="77" t="s">
        <v>296</v>
      </c>
      <c r="AV4" s="76" t="s">
        <v>295</v>
      </c>
      <c r="AW4" s="77" t="s">
        <v>296</v>
      </c>
      <c r="AX4" s="76" t="s">
        <v>295</v>
      </c>
      <c r="AY4" s="77" t="s">
        <v>296</v>
      </c>
      <c r="AZ4" s="76" t="s">
        <v>295</v>
      </c>
      <c r="BA4" s="77" t="s">
        <v>296</v>
      </c>
      <c r="BB4" s="76" t="s">
        <v>295</v>
      </c>
      <c r="BC4" s="77" t="s">
        <v>296</v>
      </c>
      <c r="BD4" s="76" t="s">
        <v>295</v>
      </c>
      <c r="BE4" s="77" t="s">
        <v>296</v>
      </c>
      <c r="BF4" s="76" t="s">
        <v>295</v>
      </c>
      <c r="BG4" s="77" t="s">
        <v>296</v>
      </c>
      <c r="BH4" s="76" t="s">
        <v>295</v>
      </c>
      <c r="BI4" s="77" t="s">
        <v>296</v>
      </c>
      <c r="BJ4" s="76" t="s">
        <v>295</v>
      </c>
      <c r="BK4" s="77" t="s">
        <v>296</v>
      </c>
      <c r="BL4" s="76" t="s">
        <v>295</v>
      </c>
      <c r="BM4" s="77" t="s">
        <v>296</v>
      </c>
      <c r="BN4" s="76" t="s">
        <v>295</v>
      </c>
      <c r="BO4" s="77" t="s">
        <v>296</v>
      </c>
      <c r="BP4" s="76" t="s">
        <v>295</v>
      </c>
      <c r="BQ4" s="77" t="s">
        <v>296</v>
      </c>
      <c r="BR4" s="95" t="s">
        <v>295</v>
      </c>
      <c r="BS4" s="96" t="s">
        <v>296</v>
      </c>
    </row>
    <row r="5" spans="1:71" x14ac:dyDescent="0.25">
      <c r="A5" s="3" t="s">
        <v>36</v>
      </c>
      <c r="B5" s="11">
        <v>423477</v>
      </c>
      <c r="C5" s="11">
        <v>774399</v>
      </c>
      <c r="D5" s="11">
        <v>1084765</v>
      </c>
      <c r="E5" s="11">
        <v>2113166</v>
      </c>
      <c r="F5" s="11">
        <v>12385955</v>
      </c>
      <c r="G5" s="11">
        <v>13389643</v>
      </c>
      <c r="H5" s="11">
        <v>4034284</v>
      </c>
      <c r="I5" s="11">
        <v>7264992</v>
      </c>
      <c r="J5" s="11">
        <v>21311891</v>
      </c>
      <c r="K5" s="11">
        <v>40776122</v>
      </c>
      <c r="L5" s="11">
        <v>4284781</v>
      </c>
      <c r="M5" s="11">
        <v>8179227</v>
      </c>
      <c r="N5" s="11">
        <f>42769+225155+8468046</f>
        <v>8735970</v>
      </c>
      <c r="O5" s="11">
        <f>89889+467502+16355422</f>
        <v>16912813</v>
      </c>
      <c r="P5" s="11">
        <v>1169521</v>
      </c>
      <c r="Q5" s="11">
        <v>2361954</v>
      </c>
      <c r="R5" s="11">
        <v>519434</v>
      </c>
      <c r="S5" s="11">
        <v>902368</v>
      </c>
      <c r="T5" s="11">
        <v>213107</v>
      </c>
      <c r="U5" s="11">
        <v>405913</v>
      </c>
      <c r="V5" s="11">
        <v>1997294.15</v>
      </c>
      <c r="W5" s="11">
        <v>3687987.79</v>
      </c>
      <c r="X5" s="11">
        <v>4657153</v>
      </c>
      <c r="Y5" s="11">
        <v>8860148</v>
      </c>
      <c r="Z5" s="11">
        <v>2690384</v>
      </c>
      <c r="AA5" s="11">
        <v>5075266</v>
      </c>
      <c r="AB5" s="11">
        <v>11957821</v>
      </c>
      <c r="AC5" s="11">
        <v>21676592</v>
      </c>
      <c r="AD5" s="11">
        <v>23569144</v>
      </c>
      <c r="AE5" s="11">
        <v>46018061</v>
      </c>
      <c r="AF5" s="11">
        <f>181116+150774+11016339</f>
        <v>11348229</v>
      </c>
      <c r="AG5" s="11">
        <f>342747+275765+21048842</f>
        <v>21667354</v>
      </c>
      <c r="AH5" s="11">
        <v>688495</v>
      </c>
      <c r="AI5" s="11">
        <v>1333339</v>
      </c>
      <c r="AJ5" s="11">
        <f>58770+38217+2772276</f>
        <v>2869263</v>
      </c>
      <c r="AK5" s="11">
        <f>107770+43314+5281152</f>
        <v>5432236</v>
      </c>
      <c r="AL5" s="11">
        <f>2916+22760+1665688</f>
        <v>1691364</v>
      </c>
      <c r="AM5" s="11">
        <f>4702+37764+3293285</f>
        <v>3335751</v>
      </c>
      <c r="AN5" s="11">
        <v>2102698</v>
      </c>
      <c r="AO5" s="11">
        <v>3185564</v>
      </c>
      <c r="AP5" s="11">
        <v>24555210.505077787</v>
      </c>
      <c r="AQ5" s="11">
        <v>49338504.137816906</v>
      </c>
      <c r="AR5" s="11">
        <f>1166366+5842387+51563320</f>
        <v>58572073</v>
      </c>
      <c r="AS5" s="11">
        <f>1978748+11032209+99621595</f>
        <v>112632552</v>
      </c>
      <c r="AT5" s="11">
        <f>458249+24251500+1657809</f>
        <v>26367558</v>
      </c>
      <c r="AU5" s="11">
        <f>1081669+47247090+3740170</f>
        <v>52068929</v>
      </c>
      <c r="AV5" s="11">
        <v>268707</v>
      </c>
      <c r="AW5" s="11">
        <v>527961</v>
      </c>
      <c r="AX5" s="11">
        <f>18861+313335+10140192</f>
        <v>10472388</v>
      </c>
      <c r="AY5" s="11">
        <f>32118+706756+18440027</f>
        <v>19178901</v>
      </c>
      <c r="AZ5" s="11">
        <v>8610</v>
      </c>
      <c r="BA5" s="11">
        <v>20096</v>
      </c>
      <c r="BB5" s="11">
        <v>3939470</v>
      </c>
      <c r="BC5" s="11">
        <v>6794953</v>
      </c>
      <c r="BD5" s="11">
        <f>43044+97610+5573006</f>
        <v>5713660</v>
      </c>
      <c r="BE5" s="11">
        <f>99589+168908+10703393</f>
        <v>10971890</v>
      </c>
      <c r="BF5" s="11">
        <v>7005578</v>
      </c>
      <c r="BG5" s="11">
        <v>13497718</v>
      </c>
      <c r="BH5" s="11">
        <v>5648909</v>
      </c>
      <c r="BI5" s="11">
        <v>11111658</v>
      </c>
      <c r="BJ5" s="11">
        <v>10347342</v>
      </c>
      <c r="BK5" s="11">
        <v>18494999</v>
      </c>
      <c r="BL5" s="11">
        <v>12384104</v>
      </c>
      <c r="BM5" s="11">
        <v>24804598</v>
      </c>
      <c r="BN5" s="11">
        <v>30518128</v>
      </c>
      <c r="BO5" s="11">
        <v>62063336</v>
      </c>
      <c r="BP5" s="11">
        <f>10070+133106+2792871</f>
        <v>2936047</v>
      </c>
      <c r="BQ5" s="11">
        <f>24975+251679+5066167</f>
        <v>5342821</v>
      </c>
      <c r="BR5" s="98">
        <f>B5+D5+F5+H5+J5+L5+N5+P5+R5+T5+V5+X5+Z5+AB5+AD5+AF5+AH5+AJ5+AL5+AN5+AP5+AR5+AT5+AV5+AX5+AZ5+BB5+BD5+BF5+BH5+BJ5+BL5+BN5+BP5</f>
        <v>316472814.65507782</v>
      </c>
      <c r="BS5" s="98">
        <f>C5+E5+G5+I5+K5+M5+O5+Q5+S5+U5+W5+Y5+AA5+AC5+AE5+AG5+AI5+AK5+AM5+AO5+AQ5+AS5+AU5+AW5+AY5+BA5+BC5+BE5+BG5+BI5+BK5+BM5+BO5+BQ5</f>
        <v>600201811.92781687</v>
      </c>
    </row>
    <row r="6" spans="1:71" ht="30" x14ac:dyDescent="0.25">
      <c r="A6" s="3" t="s">
        <v>37</v>
      </c>
      <c r="B6" s="11">
        <v>11889</v>
      </c>
      <c r="C6" s="11">
        <v>21758</v>
      </c>
      <c r="D6" s="11">
        <v>5282</v>
      </c>
      <c r="E6" s="11">
        <v>14502</v>
      </c>
      <c r="F6" s="11"/>
      <c r="G6" s="11"/>
      <c r="H6" s="11">
        <v>57301</v>
      </c>
      <c r="I6" s="11">
        <v>100644</v>
      </c>
      <c r="J6" s="11">
        <v>949461</v>
      </c>
      <c r="K6" s="11">
        <v>1385933</v>
      </c>
      <c r="L6" s="11">
        <v>296931</v>
      </c>
      <c r="M6" s="11">
        <v>374226</v>
      </c>
      <c r="N6" s="11">
        <f>1228+16301+415465</f>
        <v>432994</v>
      </c>
      <c r="O6" s="11">
        <f>1533+20305+517669</f>
        <v>539507</v>
      </c>
      <c r="P6" s="11">
        <v>17365</v>
      </c>
      <c r="Q6" s="11">
        <v>21070</v>
      </c>
      <c r="R6" s="11">
        <v>5195</v>
      </c>
      <c r="S6" s="11">
        <v>9150</v>
      </c>
      <c r="T6" s="11">
        <v>3899</v>
      </c>
      <c r="U6" s="11">
        <v>13267</v>
      </c>
      <c r="V6" s="11">
        <f>39439.44-0.03</f>
        <v>39439.410000000003</v>
      </c>
      <c r="W6" s="11">
        <f>268673.38-44177.97</f>
        <v>224495.41</v>
      </c>
      <c r="X6" s="11">
        <v>20130</v>
      </c>
      <c r="Y6" s="11">
        <v>51080</v>
      </c>
      <c r="Z6" s="11">
        <f>6152-2289</f>
        <v>3863</v>
      </c>
      <c r="AA6" s="11">
        <f>19587-2289</f>
        <v>17298</v>
      </c>
      <c r="AB6" s="11">
        <v>41148</v>
      </c>
      <c r="AC6" s="11">
        <v>132261</v>
      </c>
      <c r="AD6" s="11">
        <v>522354</v>
      </c>
      <c r="AE6" s="11">
        <v>1572423</v>
      </c>
      <c r="AF6" s="11">
        <f>289+393+20537</f>
        <v>21219</v>
      </c>
      <c r="AG6" s="11">
        <f>542+784+39526</f>
        <v>40852</v>
      </c>
      <c r="AH6" s="11">
        <v>18460</v>
      </c>
      <c r="AI6" s="11">
        <v>60906</v>
      </c>
      <c r="AJ6" s="11">
        <f>371+1001+16008</f>
        <v>17380</v>
      </c>
      <c r="AK6" s="11">
        <f>533+1484+21480</f>
        <v>23497</v>
      </c>
      <c r="AL6" s="11">
        <f>332+4173+225386</f>
        <v>229891</v>
      </c>
      <c r="AM6" s="11">
        <f>409+5171+271411</f>
        <v>276991</v>
      </c>
      <c r="AN6" s="11">
        <v>8052</v>
      </c>
      <c r="AO6" s="11">
        <v>14068</v>
      </c>
      <c r="AP6" s="11">
        <v>1800125</v>
      </c>
      <c r="AQ6" s="11">
        <v>2932550</v>
      </c>
      <c r="AR6" s="11">
        <f>113482+791857+4848555</f>
        <v>5753894</v>
      </c>
      <c r="AS6" s="11">
        <f>186617+1302177+7973247</f>
        <v>9462041</v>
      </c>
      <c r="AT6" s="11">
        <f>64782+2881104+274937</f>
        <v>3220823</v>
      </c>
      <c r="AU6" s="11">
        <f>138399+5958950+552151</f>
        <v>6649500</v>
      </c>
      <c r="AV6" s="11">
        <v>3473</v>
      </c>
      <c r="AW6" s="11">
        <v>6149</v>
      </c>
      <c r="AX6" s="11">
        <f>1359+11991+342776</f>
        <v>356126</v>
      </c>
      <c r="AY6" s="11">
        <f>2193+22504+590128</f>
        <v>614825</v>
      </c>
      <c r="AZ6" s="11">
        <v>7695</v>
      </c>
      <c r="BA6" s="11">
        <v>9059</v>
      </c>
      <c r="BB6" s="11">
        <v>15866</v>
      </c>
      <c r="BC6" s="11">
        <v>28803</v>
      </c>
      <c r="BD6" s="11">
        <f>612+2773+92099</f>
        <v>95484</v>
      </c>
      <c r="BE6" s="11">
        <f>1028+4939+144758</f>
        <v>150725</v>
      </c>
      <c r="BF6" s="11">
        <v>107041</v>
      </c>
      <c r="BG6" s="11">
        <v>171422</v>
      </c>
      <c r="BH6" s="11">
        <v>-660</v>
      </c>
      <c r="BI6" s="11">
        <v>-660</v>
      </c>
      <c r="BJ6" s="11">
        <v>36494</v>
      </c>
      <c r="BK6" s="11">
        <v>36494</v>
      </c>
      <c r="BL6" s="11">
        <v>143943</v>
      </c>
      <c r="BM6" s="11">
        <v>636749</v>
      </c>
      <c r="BN6" s="11">
        <v>1972398</v>
      </c>
      <c r="BO6" s="11">
        <v>4875684</v>
      </c>
      <c r="BP6" s="11">
        <f>94+2049+21509</f>
        <v>23652</v>
      </c>
      <c r="BQ6" s="11">
        <f>143+3341+34755</f>
        <v>38239</v>
      </c>
      <c r="BR6" s="98">
        <f t="shared" ref="BR6:BR15" si="0">B6+D6+F6+H6+J6+L6+N6+P6+R6+T6+V6+X6+Z6+AB6+AD6+AF6+AH6+AJ6+AL6+AN6+AP6+AR6+AT6+AV6+AX6+AZ6+BB6+BD6+BF6+BH6+BJ6+BL6+BN6+BP6</f>
        <v>16238607.41</v>
      </c>
      <c r="BS6" s="98">
        <f t="shared" ref="BS6:BS15" si="1">C6+E6+G6+I6+K6+M6+O6+Q6+S6+U6+W6+Y6+AA6+AC6+AE6+AG6+AI6+AK6+AM6+AO6+AQ6+AS6+AU6+AW6+AY6+BA6+BC6+BE6+BG6+BI6+BK6+BM6+BO6+BQ6</f>
        <v>30505508.41</v>
      </c>
    </row>
    <row r="7" spans="1:71" x14ac:dyDescent="0.25">
      <c r="A7" s="3" t="s">
        <v>38</v>
      </c>
      <c r="B7" s="11">
        <f t="shared" ref="B7" si="2">B9-B8-B6-B5</f>
        <v>0</v>
      </c>
      <c r="C7" s="11">
        <f t="shared" ref="C7:K7" si="3">C9-C8-C6-C5</f>
        <v>0</v>
      </c>
      <c r="D7" s="11">
        <f t="shared" si="3"/>
        <v>-1921</v>
      </c>
      <c r="E7" s="11">
        <f t="shared" si="3"/>
        <v>-3303</v>
      </c>
      <c r="F7" s="11">
        <f t="shared" si="3"/>
        <v>392531</v>
      </c>
      <c r="G7" s="11">
        <f t="shared" si="3"/>
        <v>426955</v>
      </c>
      <c r="H7" s="11">
        <f t="shared" si="3"/>
        <v>11842</v>
      </c>
      <c r="I7" s="11">
        <f t="shared" si="3"/>
        <v>20752</v>
      </c>
      <c r="J7" s="11">
        <f t="shared" si="3"/>
        <v>-27371</v>
      </c>
      <c r="K7" s="11">
        <f t="shared" si="3"/>
        <v>11219</v>
      </c>
      <c r="L7" s="11">
        <f t="shared" ref="L7:BQ7" si="4">L9-L8-L6-L5</f>
        <v>-9198</v>
      </c>
      <c r="M7" s="11">
        <f t="shared" si="4"/>
        <v>-7479</v>
      </c>
      <c r="N7" s="11">
        <f t="shared" si="4"/>
        <v>-2498</v>
      </c>
      <c r="O7" s="11">
        <f t="shared" si="4"/>
        <v>15401</v>
      </c>
      <c r="P7" s="11">
        <f t="shared" si="4"/>
        <v>1</v>
      </c>
      <c r="Q7" s="11">
        <f t="shared" si="4"/>
        <v>0</v>
      </c>
      <c r="R7" s="11">
        <f t="shared" si="4"/>
        <v>0</v>
      </c>
      <c r="S7" s="11">
        <f t="shared" si="4"/>
        <v>21549</v>
      </c>
      <c r="T7" s="11">
        <f t="shared" si="4"/>
        <v>590</v>
      </c>
      <c r="U7" s="11">
        <f t="shared" si="4"/>
        <v>778</v>
      </c>
      <c r="V7" s="11">
        <f t="shared" si="4"/>
        <v>5973.1900000004098</v>
      </c>
      <c r="W7" s="11">
        <f t="shared" si="4"/>
        <v>8962.2099999994971</v>
      </c>
      <c r="X7" s="11">
        <f t="shared" si="4"/>
        <v>499</v>
      </c>
      <c r="Y7" s="11">
        <f t="shared" ref="Y7" si="5">Y9-Y8-Y6-Y5</f>
        <v>957</v>
      </c>
      <c r="Z7" s="11">
        <f t="shared" si="4"/>
        <v>0</v>
      </c>
      <c r="AA7" s="11">
        <f t="shared" ref="AA7" si="6">AA9-AA8-AA6-AA5</f>
        <v>-1</v>
      </c>
      <c r="AB7" s="11">
        <f t="shared" si="4"/>
        <v>7121</v>
      </c>
      <c r="AC7" s="11">
        <f t="shared" ref="AC7" si="7">AC9-AC8-AC6-AC5</f>
        <v>28169</v>
      </c>
      <c r="AD7" s="11">
        <f t="shared" si="4"/>
        <v>40628</v>
      </c>
      <c r="AE7" s="11">
        <f t="shared" ref="AE7" si="8">AE9-AE8-AE6-AE5</f>
        <v>134841</v>
      </c>
      <c r="AF7" s="11">
        <f t="shared" si="4"/>
        <v>72</v>
      </c>
      <c r="AG7" s="11">
        <f t="shared" ref="AG7" si="9">AG9-AG8-AG6-AG5</f>
        <v>1585</v>
      </c>
      <c r="AH7" s="11">
        <f t="shared" si="4"/>
        <v>270</v>
      </c>
      <c r="AI7" s="11">
        <f t="shared" si="4"/>
        <v>306</v>
      </c>
      <c r="AJ7" s="11">
        <f t="shared" si="4"/>
        <v>1</v>
      </c>
      <c r="AK7" s="11">
        <f t="shared" si="4"/>
        <v>0</v>
      </c>
      <c r="AL7" s="11">
        <f t="shared" si="4"/>
        <v>33819</v>
      </c>
      <c r="AM7" s="11">
        <f t="shared" si="4"/>
        <v>58002</v>
      </c>
      <c r="AN7" s="11">
        <f t="shared" si="4"/>
        <v>251622</v>
      </c>
      <c r="AO7" s="11">
        <f t="shared" ref="AO7" si="10">AO9-AO8-AO6-AO5</f>
        <v>565730</v>
      </c>
      <c r="AP7" s="11">
        <f t="shared" si="4"/>
        <v>2887</v>
      </c>
      <c r="AQ7" s="11">
        <f t="shared" ref="AQ7" si="11">AQ9-AQ8-AQ6-AQ5</f>
        <v>2887</v>
      </c>
      <c r="AR7" s="11">
        <f t="shared" si="4"/>
        <v>1</v>
      </c>
      <c r="AS7" s="11">
        <f t="shared" si="4"/>
        <v>0</v>
      </c>
      <c r="AT7" s="11">
        <f t="shared" si="4"/>
        <v>-82912</v>
      </c>
      <c r="AU7" s="11">
        <f t="shared" si="4"/>
        <v>-168487</v>
      </c>
      <c r="AV7" s="11">
        <f t="shared" si="4"/>
        <v>92247</v>
      </c>
      <c r="AW7" s="11">
        <f t="shared" si="4"/>
        <v>193543</v>
      </c>
      <c r="AX7" s="11">
        <f t="shared" si="4"/>
        <v>1687</v>
      </c>
      <c r="AY7" s="11">
        <f t="shared" si="4"/>
        <v>2607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ref="BC7" si="12">BC9-BC8-BC6-BC5</f>
        <v>0</v>
      </c>
      <c r="BD7" s="11">
        <f t="shared" si="4"/>
        <v>1862</v>
      </c>
      <c r="BE7" s="11">
        <f t="shared" si="4"/>
        <v>3605</v>
      </c>
      <c r="BF7" s="11">
        <f t="shared" si="4"/>
        <v>-120010</v>
      </c>
      <c r="BG7" s="11">
        <f t="shared" ref="BG7" si="13">BG9-BG8-BG6-BG5</f>
        <v>-221157</v>
      </c>
      <c r="BH7" s="11">
        <f t="shared" si="4"/>
        <v>-5659</v>
      </c>
      <c r="BI7" s="11">
        <f t="shared" si="4"/>
        <v>948</v>
      </c>
      <c r="BJ7" s="11">
        <f t="shared" ref="BJ7:BK7" si="14">BJ9-BJ8-BJ6-BJ5</f>
        <v>0</v>
      </c>
      <c r="BK7" s="11">
        <f t="shared" si="14"/>
        <v>0</v>
      </c>
      <c r="BL7" s="11">
        <f t="shared" si="4"/>
        <v>70380</v>
      </c>
      <c r="BM7" s="11">
        <f t="shared" ref="BM7:BO7" si="15">BM9-BM8-BM6-BM5</f>
        <v>149321</v>
      </c>
      <c r="BN7" s="11">
        <f t="shared" si="15"/>
        <v>3035</v>
      </c>
      <c r="BO7" s="11">
        <f t="shared" si="15"/>
        <v>6938</v>
      </c>
      <c r="BP7" s="11">
        <f t="shared" si="4"/>
        <v>-9062</v>
      </c>
      <c r="BQ7" s="11">
        <f t="shared" si="4"/>
        <v>-14042</v>
      </c>
      <c r="BR7" s="98">
        <f t="shared" si="0"/>
        <v>658437.19000000041</v>
      </c>
      <c r="BS7" s="98">
        <f t="shared" si="1"/>
        <v>1240586.2099999995</v>
      </c>
    </row>
    <row r="8" spans="1:71" x14ac:dyDescent="0.25">
      <c r="A8" s="3" t="s">
        <v>39</v>
      </c>
      <c r="B8" s="11">
        <v>34564</v>
      </c>
      <c r="C8" s="11">
        <v>52227</v>
      </c>
      <c r="D8" s="8">
        <v>76630</v>
      </c>
      <c r="E8" s="11">
        <v>142942</v>
      </c>
      <c r="F8" s="11">
        <v>1067967</v>
      </c>
      <c r="G8" s="11">
        <v>1739233</v>
      </c>
      <c r="H8" s="11">
        <v>240038</v>
      </c>
      <c r="I8" s="11">
        <v>475908</v>
      </c>
      <c r="J8" s="11">
        <v>2657523</v>
      </c>
      <c r="K8" s="11">
        <v>5143367</v>
      </c>
      <c r="L8" s="11">
        <v>756931</v>
      </c>
      <c r="M8" s="11">
        <v>1379106</v>
      </c>
      <c r="N8" s="11">
        <f>3464+46391+1181259</f>
        <v>1231114</v>
      </c>
      <c r="O8" s="11">
        <f>7256+96098+2451578</f>
        <v>2554932</v>
      </c>
      <c r="P8" s="11">
        <v>52958</v>
      </c>
      <c r="Q8" s="11">
        <v>120947</v>
      </c>
      <c r="R8" s="11">
        <v>35656</v>
      </c>
      <c r="S8" s="11">
        <v>65908</v>
      </c>
      <c r="T8" s="11">
        <v>4669</v>
      </c>
      <c r="U8" s="11">
        <v>10641</v>
      </c>
      <c r="V8" s="11">
        <v>1245502.9099999999</v>
      </c>
      <c r="W8" s="11">
        <v>2384443.61</v>
      </c>
      <c r="X8" s="11">
        <v>606107</v>
      </c>
      <c r="Y8" s="11">
        <v>1241013</v>
      </c>
      <c r="Z8" s="11">
        <v>246766</v>
      </c>
      <c r="AA8" s="11">
        <v>426590</v>
      </c>
      <c r="AB8" s="11">
        <v>1525394</v>
      </c>
      <c r="AC8" s="11">
        <v>2965842</v>
      </c>
      <c r="AD8" s="11">
        <v>3257047</v>
      </c>
      <c r="AE8" s="11">
        <v>6305325</v>
      </c>
      <c r="AF8" s="11">
        <f>16303+22000+1158140</f>
        <v>1196443</v>
      </c>
      <c r="AG8" s="11">
        <f>31963+46203+2332135</f>
        <v>2410301</v>
      </c>
      <c r="AH8" s="11">
        <v>62489</v>
      </c>
      <c r="AI8" s="11">
        <v>127379</v>
      </c>
      <c r="AJ8" s="11">
        <f>5090+12470+256212</f>
        <v>273772</v>
      </c>
      <c r="AK8" s="11">
        <f>13012+30859+524532</f>
        <v>568403</v>
      </c>
      <c r="AL8" s="11">
        <f>399+4935+295708</f>
        <v>301042</v>
      </c>
      <c r="AM8" s="11">
        <f>845+10680+560602</f>
        <v>572127</v>
      </c>
      <c r="AN8" s="11">
        <v>73280</v>
      </c>
      <c r="AO8" s="11">
        <v>173806</v>
      </c>
      <c r="AP8" s="11">
        <v>3397936</v>
      </c>
      <c r="AQ8" s="11">
        <v>6822608</v>
      </c>
      <c r="AR8" s="11">
        <f>117072+816907+5001936</f>
        <v>5935915</v>
      </c>
      <c r="AS8" s="11">
        <f>240518+1678293+10276216</f>
        <v>12195027</v>
      </c>
      <c r="AT8" s="11">
        <f>80331+3528210+332954</f>
        <v>3941495</v>
      </c>
      <c r="AU8" s="11">
        <f>136017+5856382+542647</f>
        <v>6535046</v>
      </c>
      <c r="AV8" s="11">
        <v>49592</v>
      </c>
      <c r="AW8" s="11">
        <v>91940</v>
      </c>
      <c r="AX8" s="11">
        <f>6151+51109+1514512</f>
        <v>1571772</v>
      </c>
      <c r="AY8" s="11">
        <f>11275+115725+3034745</f>
        <v>3161745</v>
      </c>
      <c r="AZ8" s="11">
        <v>611</v>
      </c>
      <c r="BA8" s="11">
        <v>2155</v>
      </c>
      <c r="BB8" s="11">
        <v>227035</v>
      </c>
      <c r="BC8" s="11">
        <v>438088</v>
      </c>
      <c r="BD8" s="11">
        <f>4556+14527+750976</f>
        <v>770059</v>
      </c>
      <c r="BE8" s="11">
        <f>9188+47920+1385201</f>
        <v>1442309</v>
      </c>
      <c r="BF8" s="11">
        <v>935989</v>
      </c>
      <c r="BG8" s="11">
        <v>1844938</v>
      </c>
      <c r="BH8" s="11">
        <v>1538289</v>
      </c>
      <c r="BI8" s="11">
        <v>3036588</v>
      </c>
      <c r="BJ8" s="11">
        <v>446732</v>
      </c>
      <c r="BK8" s="11">
        <v>826949</v>
      </c>
      <c r="BL8" s="11">
        <v>1677358</v>
      </c>
      <c r="BM8" s="11">
        <v>3137525</v>
      </c>
      <c r="BN8" s="11">
        <v>5120479</v>
      </c>
      <c r="BO8" s="11">
        <v>9051360</v>
      </c>
      <c r="BP8" s="11">
        <f>1509+31702+334819</f>
        <v>368030</v>
      </c>
      <c r="BQ8" s="11">
        <f>2744+64276+668704</f>
        <v>735724</v>
      </c>
      <c r="BR8" s="98">
        <f t="shared" si="0"/>
        <v>40927184.909999996</v>
      </c>
      <c r="BS8" s="98">
        <f t="shared" si="1"/>
        <v>78182442.609999999</v>
      </c>
    </row>
    <row r="9" spans="1:71" s="9" customFormat="1" x14ac:dyDescent="0.25">
      <c r="A9" s="4" t="s">
        <v>40</v>
      </c>
      <c r="B9" s="12">
        <v>469930</v>
      </c>
      <c r="C9" s="12">
        <v>848384</v>
      </c>
      <c r="D9" s="12">
        <v>1164756</v>
      </c>
      <c r="E9" s="12">
        <v>2267307</v>
      </c>
      <c r="F9" s="12">
        <v>13846453</v>
      </c>
      <c r="G9" s="12">
        <v>15555831</v>
      </c>
      <c r="H9" s="12">
        <v>4343465</v>
      </c>
      <c r="I9" s="12">
        <v>7862296</v>
      </c>
      <c r="J9" s="12">
        <v>24891504</v>
      </c>
      <c r="K9" s="12">
        <v>47316641</v>
      </c>
      <c r="L9" s="12">
        <v>5329445</v>
      </c>
      <c r="M9" s="12">
        <v>9925080</v>
      </c>
      <c r="N9" s="12">
        <f>47741+288115+10061724</f>
        <v>10397580</v>
      </c>
      <c r="O9" s="12">
        <f>99140+598086+19325427</f>
        <v>20022653</v>
      </c>
      <c r="P9" s="12">
        <v>1239845</v>
      </c>
      <c r="Q9" s="12">
        <v>2503971</v>
      </c>
      <c r="R9" s="12">
        <v>560285</v>
      </c>
      <c r="S9" s="12">
        <v>998975</v>
      </c>
      <c r="T9" s="12">
        <v>222265</v>
      </c>
      <c r="U9" s="12">
        <v>430599</v>
      </c>
      <c r="V9" s="12">
        <v>3288209.66</v>
      </c>
      <c r="W9" s="12">
        <v>6305889.0199999996</v>
      </c>
      <c r="X9" s="12">
        <v>5283889</v>
      </c>
      <c r="Y9" s="12">
        <v>10153198</v>
      </c>
      <c r="Z9" s="12">
        <v>2941013</v>
      </c>
      <c r="AA9" s="12">
        <v>5519153</v>
      </c>
      <c r="AB9" s="12">
        <v>13531484</v>
      </c>
      <c r="AC9" s="12">
        <v>24802864</v>
      </c>
      <c r="AD9" s="12">
        <v>27389173</v>
      </c>
      <c r="AE9" s="12">
        <v>54030650</v>
      </c>
      <c r="AF9" s="12">
        <f>172439+12195852+197672</f>
        <v>12565963</v>
      </c>
      <c r="AG9" s="12">
        <f>375264+322392+23422436</f>
        <v>24120092</v>
      </c>
      <c r="AH9" s="12">
        <v>769714</v>
      </c>
      <c r="AI9" s="12">
        <v>1521930</v>
      </c>
      <c r="AJ9" s="12">
        <f>64231+51688+3044497</f>
        <v>3160416</v>
      </c>
      <c r="AK9" s="12">
        <f>121315+75657+5827164</f>
        <v>6024136</v>
      </c>
      <c r="AL9" s="12">
        <f>8940+38451+2208725</f>
        <v>2256116</v>
      </c>
      <c r="AM9" s="12">
        <f>18705+60078+4164088</f>
        <v>4242871</v>
      </c>
      <c r="AN9" s="12">
        <v>2435652</v>
      </c>
      <c r="AO9" s="12">
        <v>3939168</v>
      </c>
      <c r="AP9" s="12">
        <v>29756158.505077787</v>
      </c>
      <c r="AQ9" s="12">
        <v>59096549.137816906</v>
      </c>
      <c r="AR9" s="12">
        <f>1396920+7451152+61413811</f>
        <v>70261883</v>
      </c>
      <c r="AS9" s="12">
        <f>2405883+14012679+117871058</f>
        <v>134289620</v>
      </c>
      <c r="AT9" s="12">
        <f>600950+30589765+2256249</f>
        <v>33446964</v>
      </c>
      <c r="AU9" s="12">
        <f>1351910+58915349+4817729</f>
        <v>65084988</v>
      </c>
      <c r="AV9" s="12">
        <v>414019</v>
      </c>
      <c r="AW9" s="12">
        <v>819593</v>
      </c>
      <c r="AX9" s="12">
        <f>26371+376435+11999167</f>
        <v>12401973</v>
      </c>
      <c r="AY9" s="12">
        <f>45586+844985+22067507</f>
        <v>22958078</v>
      </c>
      <c r="AZ9" s="12">
        <v>16916</v>
      </c>
      <c r="BA9" s="12">
        <v>31310</v>
      </c>
      <c r="BB9" s="12">
        <v>4182371</v>
      </c>
      <c r="BC9" s="12">
        <v>7261844</v>
      </c>
      <c r="BD9" s="12">
        <f>48212+114910+6417943</f>
        <v>6581065</v>
      </c>
      <c r="BE9" s="12">
        <f>109805+221767+12236957</f>
        <v>12568529</v>
      </c>
      <c r="BF9" s="12">
        <v>7928598</v>
      </c>
      <c r="BG9" s="12">
        <v>15292921</v>
      </c>
      <c r="BH9" s="12">
        <v>7180879</v>
      </c>
      <c r="BI9" s="12">
        <v>14148534</v>
      </c>
      <c r="BJ9" s="12">
        <v>10830568</v>
      </c>
      <c r="BK9" s="12">
        <v>19358442</v>
      </c>
      <c r="BL9" s="12">
        <v>14275785</v>
      </c>
      <c r="BM9" s="12">
        <v>28728193</v>
      </c>
      <c r="BN9" s="12">
        <v>37614040</v>
      </c>
      <c r="BO9" s="12">
        <v>75997318</v>
      </c>
      <c r="BP9" s="12">
        <f>11626+168450+3138591</f>
        <v>3318667</v>
      </c>
      <c r="BQ9" s="12">
        <f>27787+322779+5752176</f>
        <v>6102742</v>
      </c>
      <c r="BR9" s="91">
        <f t="shared" si="0"/>
        <v>374297044.16507781</v>
      </c>
      <c r="BS9" s="91">
        <f t="shared" si="1"/>
        <v>710130349.15781689</v>
      </c>
    </row>
    <row r="10" spans="1:71" x14ac:dyDescent="0.25">
      <c r="A10" s="3" t="s">
        <v>41</v>
      </c>
      <c r="B10" s="11">
        <v>232099</v>
      </c>
      <c r="C10" s="11">
        <v>537119</v>
      </c>
      <c r="D10" s="11">
        <v>743055</v>
      </c>
      <c r="E10" s="11">
        <v>1418794</v>
      </c>
      <c r="F10" s="11">
        <v>16516665</v>
      </c>
      <c r="G10" s="11">
        <v>16432643</v>
      </c>
      <c r="H10" s="11">
        <v>3769960</v>
      </c>
      <c r="I10" s="11">
        <v>6744431</v>
      </c>
      <c r="J10" s="11">
        <v>15978462</v>
      </c>
      <c r="K10" s="11">
        <v>30151723</v>
      </c>
      <c r="L10" s="11">
        <v>3615161</v>
      </c>
      <c r="M10" s="11">
        <v>6644487</v>
      </c>
      <c r="N10" s="11">
        <f>22673+168671+6403327</f>
        <v>6594671</v>
      </c>
      <c r="O10" s="11">
        <f>65525+334930+12747890</f>
        <v>13148345</v>
      </c>
      <c r="P10" s="11">
        <v>737111</v>
      </c>
      <c r="Q10" s="11">
        <v>1463991</v>
      </c>
      <c r="R10" s="11">
        <v>219411</v>
      </c>
      <c r="S10" s="11">
        <v>270682</v>
      </c>
      <c r="T10" s="11">
        <v>216731</v>
      </c>
      <c r="U10" s="11">
        <v>464110</v>
      </c>
      <c r="V10" s="11">
        <v>455289.13</v>
      </c>
      <c r="W10" s="11">
        <v>1904848.79</v>
      </c>
      <c r="X10" s="11">
        <v>2549480</v>
      </c>
      <c r="Y10" s="11">
        <v>5203138</v>
      </c>
      <c r="Z10" s="11">
        <v>2007199</v>
      </c>
      <c r="AA10" s="11">
        <v>3700433</v>
      </c>
      <c r="AB10" s="11">
        <v>10035881</v>
      </c>
      <c r="AC10" s="11">
        <v>17384378</v>
      </c>
      <c r="AD10" s="11">
        <v>17571115</v>
      </c>
      <c r="AE10" s="11">
        <v>34512209</v>
      </c>
      <c r="AF10" s="11">
        <f>198107+117677+10161729</f>
        <v>10477513</v>
      </c>
      <c r="AG10" s="11">
        <f>288207+205580+19349842</f>
        <v>19843629</v>
      </c>
      <c r="AH10" s="11">
        <v>502916</v>
      </c>
      <c r="AI10" s="11">
        <v>954456</v>
      </c>
      <c r="AJ10" s="11">
        <f>11760-6530+2150392</f>
        <v>2155622</v>
      </c>
      <c r="AK10" s="11">
        <f>69242+11410+4008340</f>
        <v>4088992</v>
      </c>
      <c r="AL10" s="11">
        <f>1807+16520+1419920</f>
        <v>1438247</v>
      </c>
      <c r="AM10" s="11">
        <f>5875+28955+2751995</f>
        <v>2786825</v>
      </c>
      <c r="AN10" s="11">
        <v>1217477</v>
      </c>
      <c r="AO10" s="11">
        <v>2320435</v>
      </c>
      <c r="AP10" s="11">
        <v>28918844.606765833</v>
      </c>
      <c r="AQ10" s="11">
        <v>49498426.784765877</v>
      </c>
      <c r="AR10" s="11">
        <f>645858+5131512+48608438</f>
        <v>54385808</v>
      </c>
      <c r="AS10" s="11">
        <f>1310947+9459917+93768375</f>
        <v>104539239</v>
      </c>
      <c r="AT10" s="11">
        <f>656327+26463749+1927793</f>
        <v>29047869</v>
      </c>
      <c r="AU10" s="11">
        <f>1484407+51308540+3150810</f>
        <v>55943757</v>
      </c>
      <c r="AV10" s="11">
        <v>180173</v>
      </c>
      <c r="AW10" s="11">
        <v>415513</v>
      </c>
      <c r="AX10" s="11">
        <f>25627+215456+8873712</f>
        <v>9114795</v>
      </c>
      <c r="AY10" s="11">
        <f>30075+434051+15527175</f>
        <v>15991301</v>
      </c>
      <c r="AZ10" s="11">
        <v>7664</v>
      </c>
      <c r="BA10" s="11">
        <v>12558</v>
      </c>
      <c r="BB10" s="11">
        <v>2318156</v>
      </c>
      <c r="BC10" s="11">
        <v>4347548</v>
      </c>
      <c r="BD10" s="11">
        <f>45798+46921+5035374</f>
        <v>5128093</v>
      </c>
      <c r="BE10" s="11">
        <f>68765+128839+9649552</f>
        <v>9847156</v>
      </c>
      <c r="BF10" s="11">
        <v>5197377</v>
      </c>
      <c r="BG10" s="11">
        <v>10336202</v>
      </c>
      <c r="BH10" s="11">
        <v>3817575</v>
      </c>
      <c r="BI10" s="11">
        <v>7730376</v>
      </c>
      <c r="BJ10" s="11">
        <v>7798544</v>
      </c>
      <c r="BK10" s="11">
        <v>14489450</v>
      </c>
      <c r="BL10" s="11">
        <v>9197469</v>
      </c>
      <c r="BM10" s="11">
        <v>19209833</v>
      </c>
      <c r="BN10" s="11">
        <v>37344923</v>
      </c>
      <c r="BO10" s="11">
        <v>71771956</v>
      </c>
      <c r="BP10" s="11">
        <f>13593+129859+2183501</f>
        <v>2326953</v>
      </c>
      <c r="BQ10" s="11">
        <f>24561+204748+4037062</f>
        <v>4266371</v>
      </c>
      <c r="BR10" s="98">
        <f t="shared" si="0"/>
        <v>291818308.73676586</v>
      </c>
      <c r="BS10" s="98">
        <f t="shared" si="1"/>
        <v>538375355.57476592</v>
      </c>
    </row>
    <row r="11" spans="1:71" x14ac:dyDescent="0.25">
      <c r="A11" s="3" t="s">
        <v>42</v>
      </c>
      <c r="B11" s="11">
        <v>-41993</v>
      </c>
      <c r="C11" s="11">
        <v>-69911</v>
      </c>
      <c r="D11" s="11">
        <v>17560</v>
      </c>
      <c r="E11" s="11">
        <v>176451</v>
      </c>
      <c r="F11" s="11">
        <v>-1869645</v>
      </c>
      <c r="G11" s="11">
        <v>-1890084</v>
      </c>
      <c r="H11" s="11">
        <v>259334</v>
      </c>
      <c r="I11" s="11">
        <v>360590</v>
      </c>
      <c r="J11" s="11">
        <v>75316</v>
      </c>
      <c r="K11" s="11">
        <v>-427832</v>
      </c>
      <c r="L11" s="11">
        <v>147396</v>
      </c>
      <c r="M11" s="11">
        <v>462943</v>
      </c>
      <c r="N11" s="11">
        <f>-16153+27830+328734</f>
        <v>340411</v>
      </c>
      <c r="O11" s="11">
        <f>-24611+28874+600177</f>
        <v>604440</v>
      </c>
      <c r="P11" s="11">
        <v>129868</v>
      </c>
      <c r="Q11" s="11">
        <v>282011</v>
      </c>
      <c r="R11" s="11">
        <v>-1198</v>
      </c>
      <c r="S11" s="11">
        <v>-1574</v>
      </c>
      <c r="T11" s="11">
        <v>27737</v>
      </c>
      <c r="U11" s="11">
        <v>-17448</v>
      </c>
      <c r="V11" s="11">
        <v>-86913.59</v>
      </c>
      <c r="W11" s="11">
        <v>-183840.36</v>
      </c>
      <c r="X11" s="11">
        <v>209833</v>
      </c>
      <c r="Y11" s="11">
        <v>481871</v>
      </c>
      <c r="Z11" s="11">
        <v>-324245</v>
      </c>
      <c r="AA11" s="11">
        <v>-289630</v>
      </c>
      <c r="AB11" s="11">
        <v>-1179582</v>
      </c>
      <c r="AC11" s="11">
        <v>-1393797</v>
      </c>
      <c r="AD11" s="11">
        <v>618505</v>
      </c>
      <c r="AE11" s="11">
        <v>1165569</v>
      </c>
      <c r="AF11" s="11">
        <f>-7922-59635+98771</f>
        <v>31214</v>
      </c>
      <c r="AG11" s="11">
        <f>-9071-231150+1114267</f>
        <v>874046</v>
      </c>
      <c r="AH11" s="11">
        <v>70057</v>
      </c>
      <c r="AI11" s="11">
        <v>125041</v>
      </c>
      <c r="AJ11" s="11">
        <f>9635+6666+374284</f>
        <v>390585</v>
      </c>
      <c r="AK11" s="11">
        <f>23963-6239+688417</f>
        <v>706141</v>
      </c>
      <c r="AL11" s="11">
        <f>-3039-20466-156330</f>
        <v>-179835</v>
      </c>
      <c r="AM11" s="11">
        <f>-3866-35606-252546</f>
        <v>-292018</v>
      </c>
      <c r="AN11" s="11">
        <v>36759</v>
      </c>
      <c r="AO11" s="11">
        <v>-20299</v>
      </c>
      <c r="AP11" s="11">
        <v>1714533.4540000004</v>
      </c>
      <c r="AQ11" s="11">
        <v>3577917.1100000008</v>
      </c>
      <c r="AR11" s="11">
        <f>160276+1069722+4040491</f>
        <v>5270489</v>
      </c>
      <c r="AS11" s="11">
        <f>332343+1804586+8377243</f>
        <v>10514172</v>
      </c>
      <c r="AT11" s="11">
        <f>51276+1333933+302041</f>
        <v>1687250</v>
      </c>
      <c r="AU11" s="11">
        <f>113630+2555295+537183</f>
        <v>3206108</v>
      </c>
      <c r="AV11" s="11">
        <v>24320</v>
      </c>
      <c r="AW11" s="11">
        <v>46782</v>
      </c>
      <c r="AX11" s="11">
        <f>-15527-394231-738160</f>
        <v>-1147918</v>
      </c>
      <c r="AY11" s="11">
        <f>-21732-499909-506822</f>
        <v>-1028463</v>
      </c>
      <c r="AZ11" s="11">
        <v>-2238</v>
      </c>
      <c r="BA11" s="11">
        <v>-5476</v>
      </c>
      <c r="BB11" s="11">
        <v>-37816</v>
      </c>
      <c r="BC11" s="11">
        <v>-183342</v>
      </c>
      <c r="BD11" s="11">
        <f>7062+3594+323477</f>
        <v>334133</v>
      </c>
      <c r="BE11" s="11">
        <f>9333+18446+574922</f>
        <v>602701</v>
      </c>
      <c r="BF11" s="11">
        <v>-574808</v>
      </c>
      <c r="BG11" s="11">
        <v>-1042455</v>
      </c>
      <c r="BH11" s="11">
        <v>302345</v>
      </c>
      <c r="BI11" s="11">
        <v>507140</v>
      </c>
      <c r="BJ11" s="11">
        <v>1103157</v>
      </c>
      <c r="BK11" s="11">
        <v>1836253</v>
      </c>
      <c r="BL11" s="11">
        <v>217739</v>
      </c>
      <c r="BM11" s="11">
        <v>-690825</v>
      </c>
      <c r="BN11" s="11">
        <v>1670223</v>
      </c>
      <c r="BO11" s="11">
        <v>3269854</v>
      </c>
      <c r="BP11" s="11">
        <f>-3632+18297+73187</f>
        <v>87852</v>
      </c>
      <c r="BQ11" s="11">
        <f>-2617+677+270307</f>
        <v>268367</v>
      </c>
      <c r="BR11" s="98">
        <f t="shared" si="0"/>
        <v>9320424.8640000001</v>
      </c>
      <c r="BS11" s="98">
        <f t="shared" si="1"/>
        <v>21531402.75</v>
      </c>
    </row>
    <row r="12" spans="1:71" ht="30" x14ac:dyDescent="0.25">
      <c r="A12" s="3" t="s">
        <v>43</v>
      </c>
      <c r="B12" s="11">
        <v>844603</v>
      </c>
      <c r="C12" s="11">
        <v>1452485</v>
      </c>
      <c r="D12" s="11">
        <v>1116089</v>
      </c>
      <c r="E12" s="11">
        <v>2030933</v>
      </c>
      <c r="F12" s="11">
        <v>1007687</v>
      </c>
      <c r="G12" s="11">
        <v>1480129</v>
      </c>
      <c r="H12" s="11">
        <v>1687225</v>
      </c>
      <c r="I12" s="11">
        <v>3234888</v>
      </c>
      <c r="J12" s="11">
        <v>6163768</v>
      </c>
      <c r="K12" s="11">
        <v>11872223</v>
      </c>
      <c r="L12" s="11">
        <v>1719848</v>
      </c>
      <c r="M12" s="11">
        <v>3445356</v>
      </c>
      <c r="N12" s="11">
        <f>14616+56683+2428615</f>
        <v>2499914</v>
      </c>
      <c r="O12" s="11">
        <f>31479+110124+4940108</f>
        <v>5081711</v>
      </c>
      <c r="P12" s="11">
        <v>585075</v>
      </c>
      <c r="Q12" s="11">
        <v>1341953</v>
      </c>
      <c r="R12" s="11">
        <v>324841</v>
      </c>
      <c r="S12" s="11">
        <v>647207</v>
      </c>
      <c r="T12" s="11">
        <v>174633</v>
      </c>
      <c r="U12" s="11">
        <v>367147</v>
      </c>
      <c r="V12" s="11">
        <v>662833.16</v>
      </c>
      <c r="W12" s="11">
        <v>1162141.52</v>
      </c>
      <c r="X12" s="11">
        <v>2125958</v>
      </c>
      <c r="Y12" s="11">
        <v>3950659</v>
      </c>
      <c r="Z12" s="11">
        <v>1784394</v>
      </c>
      <c r="AA12" s="11">
        <v>3336538</v>
      </c>
      <c r="AB12" s="11">
        <v>3587147</v>
      </c>
      <c r="AC12" s="11">
        <v>6860603</v>
      </c>
      <c r="AD12" s="11">
        <v>5467159</v>
      </c>
      <c r="AE12" s="11">
        <v>10877161</v>
      </c>
      <c r="AF12" s="11">
        <f>34187+20146+1794053</f>
        <v>1848386</v>
      </c>
      <c r="AG12" s="11">
        <f>61401+38628+3270390</f>
        <v>3370419</v>
      </c>
      <c r="AH12" s="11">
        <v>311363</v>
      </c>
      <c r="AI12" s="11">
        <v>616200</v>
      </c>
      <c r="AJ12" s="11">
        <f>27524+40634+1300493</f>
        <v>1368651</v>
      </c>
      <c r="AK12" s="11">
        <f>39480+79396+2176672</f>
        <v>2295548</v>
      </c>
      <c r="AL12" s="11">
        <f>16172+82907+786065</f>
        <v>885144</v>
      </c>
      <c r="AM12" s="11">
        <f>31505+209827+1459354</f>
        <v>1700686</v>
      </c>
      <c r="AN12" s="11">
        <v>931013</v>
      </c>
      <c r="AO12" s="11">
        <v>1864834</v>
      </c>
      <c r="AP12" s="11">
        <v>8402756.5</v>
      </c>
      <c r="AQ12" s="11">
        <v>14450782.5</v>
      </c>
      <c r="AR12" s="11">
        <f>172818+886518+8077198</f>
        <v>9136534</v>
      </c>
      <c r="AS12" s="11">
        <f>361990+2094546+16321215</f>
        <v>18777751</v>
      </c>
      <c r="AT12" s="11">
        <f>121501+5905256+683286</f>
        <v>6710043</v>
      </c>
      <c r="AU12" s="11">
        <f>251283+10584363+1492475</f>
        <v>12328121</v>
      </c>
      <c r="AV12" s="11">
        <v>209801</v>
      </c>
      <c r="AW12" s="11">
        <v>385601</v>
      </c>
      <c r="AX12" s="11">
        <f>31201-28770+3802367</f>
        <v>3804798</v>
      </c>
      <c r="AY12" s="11">
        <f>46417+234012+6630019</f>
        <v>6910448</v>
      </c>
      <c r="AZ12" s="11">
        <v>209082</v>
      </c>
      <c r="BA12" s="11">
        <v>419797</v>
      </c>
      <c r="BB12" s="11">
        <v>1725570</v>
      </c>
      <c r="BC12" s="11">
        <v>2872738</v>
      </c>
      <c r="BD12" s="11">
        <f>4406+27041+1096075</f>
        <v>1127522</v>
      </c>
      <c r="BE12" s="11">
        <f>20137+99820+2037037</f>
        <v>2156994</v>
      </c>
      <c r="BF12" s="11">
        <v>2010981</v>
      </c>
      <c r="BG12" s="11">
        <v>3799541</v>
      </c>
      <c r="BH12" s="11">
        <v>1209765</v>
      </c>
      <c r="BI12" s="11">
        <v>2072920</v>
      </c>
      <c r="BJ12" s="11">
        <v>2963711</v>
      </c>
      <c r="BK12" s="11">
        <v>4954693</v>
      </c>
      <c r="BL12" s="11">
        <v>4456405</v>
      </c>
      <c r="BM12" s="11">
        <v>8828823</v>
      </c>
      <c r="BN12" s="11">
        <v>6516696</v>
      </c>
      <c r="BO12" s="11">
        <v>11991976</v>
      </c>
      <c r="BP12" s="11">
        <f>3176+19445+620252</f>
        <v>642873</v>
      </c>
      <c r="BQ12" s="11">
        <f>6979+49241+1074942</f>
        <v>1131162</v>
      </c>
      <c r="BR12" s="98">
        <f t="shared" si="0"/>
        <v>84222268.659999996</v>
      </c>
      <c r="BS12" s="98">
        <f t="shared" si="1"/>
        <v>158070169.01999998</v>
      </c>
    </row>
    <row r="13" spans="1:71" x14ac:dyDescent="0.25">
      <c r="A13" s="3" t="s">
        <v>46</v>
      </c>
      <c r="B13" s="11">
        <f>B14-B12-B11-B10</f>
        <v>-30354</v>
      </c>
      <c r="C13" s="11">
        <f t="shared" ref="C13:K13" si="16">C14-C12-C11-C10</f>
        <v>-14045</v>
      </c>
      <c r="D13" s="11">
        <f t="shared" si="16"/>
        <v>0</v>
      </c>
      <c r="E13" s="11">
        <f t="shared" si="16"/>
        <v>0</v>
      </c>
      <c r="F13" s="11">
        <f t="shared" si="16"/>
        <v>33710</v>
      </c>
      <c r="G13" s="11">
        <f t="shared" si="16"/>
        <v>50610</v>
      </c>
      <c r="H13" s="11">
        <f t="shared" si="16"/>
        <v>0</v>
      </c>
      <c r="I13" s="11">
        <f t="shared" si="16"/>
        <v>0</v>
      </c>
      <c r="J13" s="11">
        <f t="shared" si="16"/>
        <v>8569</v>
      </c>
      <c r="K13" s="11">
        <f t="shared" si="16"/>
        <v>15497</v>
      </c>
      <c r="L13" s="11">
        <f t="shared" ref="L13:BP13" si="17">L14-L12-L11-L10</f>
        <v>-90808</v>
      </c>
      <c r="M13" s="11">
        <f t="shared" si="17"/>
        <v>-5487</v>
      </c>
      <c r="N13" s="11">
        <f t="shared" si="17"/>
        <v>0</v>
      </c>
      <c r="O13" s="11">
        <f t="shared" si="17"/>
        <v>0</v>
      </c>
      <c r="P13" s="11">
        <f t="shared" si="17"/>
        <v>0</v>
      </c>
      <c r="Q13" s="11">
        <f t="shared" ref="Q13" si="18">Q14-Q12-Q11-Q10</f>
        <v>1</v>
      </c>
      <c r="R13" s="11">
        <f t="shared" si="17"/>
        <v>102432</v>
      </c>
      <c r="S13" s="11">
        <f t="shared" si="17"/>
        <v>145715</v>
      </c>
      <c r="T13" s="11">
        <f t="shared" si="17"/>
        <v>-16461</v>
      </c>
      <c r="U13" s="11">
        <f t="shared" si="17"/>
        <v>-50817</v>
      </c>
      <c r="V13" s="11">
        <f t="shared" si="17"/>
        <v>1100579.9099999997</v>
      </c>
      <c r="W13" s="11">
        <f t="shared" si="17"/>
        <v>565841.48999999976</v>
      </c>
      <c r="X13" s="11">
        <f t="shared" si="17"/>
        <v>-1</v>
      </c>
      <c r="Y13" s="11">
        <f t="shared" ref="Y13" si="19">Y14-Y12-Y11-Y10</f>
        <v>0</v>
      </c>
      <c r="Z13" s="11">
        <f t="shared" si="17"/>
        <v>0</v>
      </c>
      <c r="AA13" s="11">
        <f t="shared" ref="AA13" si="20">AA14-AA12-AA11-AA10</f>
        <v>-10955</v>
      </c>
      <c r="AB13" s="11">
        <f t="shared" si="17"/>
        <v>0</v>
      </c>
      <c r="AC13" s="11">
        <f t="shared" ref="AC13" si="21">AC14-AC12-AC11-AC10</f>
        <v>0</v>
      </c>
      <c r="AD13" s="11">
        <f t="shared" si="17"/>
        <v>0</v>
      </c>
      <c r="AE13" s="11">
        <f t="shared" ref="AE13" si="22">AE14-AE12-AE11-AE10</f>
        <v>0</v>
      </c>
      <c r="AF13" s="11">
        <f t="shared" si="17"/>
        <v>0</v>
      </c>
      <c r="AG13" s="11">
        <f t="shared" ref="AG13" si="23">AG14-AG12-AG11-AG10</f>
        <v>0</v>
      </c>
      <c r="AH13" s="11">
        <f t="shared" si="17"/>
        <v>288</v>
      </c>
      <c r="AI13" s="11">
        <f t="shared" ref="AI13" si="24">AI14-AI12-AI11-AI10</f>
        <v>521</v>
      </c>
      <c r="AJ13" s="11">
        <f t="shared" si="17"/>
        <v>-1</v>
      </c>
      <c r="AK13" s="11">
        <f t="shared" si="17"/>
        <v>0</v>
      </c>
      <c r="AL13" s="11">
        <f t="shared" si="17"/>
        <v>-60</v>
      </c>
      <c r="AM13" s="11">
        <f t="shared" si="17"/>
        <v>-76</v>
      </c>
      <c r="AN13" s="11">
        <f t="shared" si="17"/>
        <v>0</v>
      </c>
      <c r="AO13" s="11">
        <f t="shared" ref="AO13" si="25">AO14-AO12-AO11-AO10</f>
        <v>0</v>
      </c>
      <c r="AP13" s="11">
        <f t="shared" si="17"/>
        <v>38583</v>
      </c>
      <c r="AQ13" s="11">
        <f t="shared" ref="AQ13" si="26">AQ14-AQ12-AQ11-AQ10</f>
        <v>523291.00000000745</v>
      </c>
      <c r="AR13" s="11">
        <f t="shared" si="17"/>
        <v>315886</v>
      </c>
      <c r="AS13" s="11">
        <f t="shared" ref="AS13" si="27">AS14-AS12-AS11-AS10</f>
        <v>422639</v>
      </c>
      <c r="AT13" s="11">
        <f t="shared" si="17"/>
        <v>-361036</v>
      </c>
      <c r="AU13" s="11">
        <f t="shared" ref="AU13" si="28">AU14-AU12-AU11-AU10</f>
        <v>-361036</v>
      </c>
      <c r="AV13" s="11">
        <f t="shared" si="17"/>
        <v>-934</v>
      </c>
      <c r="AW13" s="11">
        <f t="shared" ref="AW13" si="29">AW14-AW12-AW11-AW10</f>
        <v>-903</v>
      </c>
      <c r="AX13" s="11">
        <f t="shared" si="17"/>
        <v>0</v>
      </c>
      <c r="AY13" s="11">
        <f t="shared" si="17"/>
        <v>0</v>
      </c>
      <c r="AZ13" s="11">
        <f t="shared" si="17"/>
        <v>-983</v>
      </c>
      <c r="BA13" s="11">
        <f t="shared" si="17"/>
        <v>-2400</v>
      </c>
      <c r="BB13" s="11">
        <f t="shared" si="17"/>
        <v>0</v>
      </c>
      <c r="BC13" s="11">
        <f t="shared" ref="BC13" si="30">BC14-BC12-BC11-BC10</f>
        <v>0</v>
      </c>
      <c r="BD13" s="11">
        <f t="shared" si="17"/>
        <v>0</v>
      </c>
      <c r="BE13" s="11">
        <f t="shared" si="17"/>
        <v>0</v>
      </c>
      <c r="BF13" s="11">
        <f t="shared" si="17"/>
        <v>0</v>
      </c>
      <c r="BG13" s="11">
        <f t="shared" ref="BG13" si="31">BG14-BG12-BG11-BG10</f>
        <v>0</v>
      </c>
      <c r="BH13" s="11">
        <f t="shared" si="17"/>
        <v>0</v>
      </c>
      <c r="BI13" s="11">
        <f t="shared" si="17"/>
        <v>0</v>
      </c>
      <c r="BJ13" s="11">
        <f t="shared" ref="BJ13:BK13" si="32">BJ14-BJ12-BJ11-BJ10</f>
        <v>0</v>
      </c>
      <c r="BK13" s="11">
        <f t="shared" si="32"/>
        <v>0</v>
      </c>
      <c r="BL13" s="11">
        <f t="shared" si="17"/>
        <v>0</v>
      </c>
      <c r="BM13" s="11">
        <f t="shared" ref="BM13:BO13" si="33">BM14-BM12-BM11-BM10</f>
        <v>0</v>
      </c>
      <c r="BN13" s="11">
        <f t="shared" si="33"/>
        <v>534575</v>
      </c>
      <c r="BO13" s="11">
        <f t="shared" si="33"/>
        <v>986866</v>
      </c>
      <c r="BP13" s="11">
        <f t="shared" si="17"/>
        <v>863</v>
      </c>
      <c r="BQ13" s="11">
        <f t="shared" ref="BQ13" si="34">BQ14-BQ12-BQ11-BQ10</f>
        <v>1599</v>
      </c>
      <c r="BR13" s="98">
        <f t="shared" si="0"/>
        <v>1634847.9099999997</v>
      </c>
      <c r="BS13" s="98">
        <f t="shared" si="1"/>
        <v>2266861.4900000072</v>
      </c>
    </row>
    <row r="14" spans="1:71" s="9" customFormat="1" x14ac:dyDescent="0.25">
      <c r="A14" s="4" t="s">
        <v>44</v>
      </c>
      <c r="B14" s="12">
        <v>1004355</v>
      </c>
      <c r="C14" s="12">
        <v>1905648</v>
      </c>
      <c r="D14" s="12">
        <v>1876704</v>
      </c>
      <c r="E14" s="12">
        <v>3626178</v>
      </c>
      <c r="F14" s="12">
        <v>15688417</v>
      </c>
      <c r="G14" s="12">
        <v>16073298</v>
      </c>
      <c r="H14" s="12">
        <v>5716519</v>
      </c>
      <c r="I14" s="12">
        <v>10339909</v>
      </c>
      <c r="J14" s="12">
        <v>22226115</v>
      </c>
      <c r="K14" s="12">
        <v>41611611</v>
      </c>
      <c r="L14" s="12">
        <v>5391597</v>
      </c>
      <c r="M14" s="12">
        <v>10547299</v>
      </c>
      <c r="N14" s="12">
        <f>21136+253184+9160676</f>
        <v>9434996</v>
      </c>
      <c r="O14" s="12">
        <f>72393+473928+18288175</f>
        <v>18834496</v>
      </c>
      <c r="P14" s="12">
        <v>1452054</v>
      </c>
      <c r="Q14" s="12">
        <v>3087956</v>
      </c>
      <c r="R14" s="12">
        <v>645486</v>
      </c>
      <c r="S14" s="12">
        <v>1062030</v>
      </c>
      <c r="T14" s="12">
        <v>402640</v>
      </c>
      <c r="U14" s="12">
        <v>762992</v>
      </c>
      <c r="V14" s="12">
        <v>2131788.61</v>
      </c>
      <c r="W14" s="12">
        <v>3448991.44</v>
      </c>
      <c r="X14" s="12">
        <v>4885270</v>
      </c>
      <c r="Y14" s="12">
        <v>9635668</v>
      </c>
      <c r="Z14" s="12">
        <v>3467348</v>
      </c>
      <c r="AA14" s="12">
        <v>6736386</v>
      </c>
      <c r="AB14" s="12">
        <v>12443446</v>
      </c>
      <c r="AC14" s="12">
        <v>22851184</v>
      </c>
      <c r="AD14" s="12">
        <v>23656779</v>
      </c>
      <c r="AE14" s="12">
        <v>46554939</v>
      </c>
      <c r="AF14" s="12">
        <f>224372+78188+12054553</f>
        <v>12357113</v>
      </c>
      <c r="AG14" s="12">
        <f>340537+13058+23734499</f>
        <v>24088094</v>
      </c>
      <c r="AH14" s="12">
        <v>884624</v>
      </c>
      <c r="AI14" s="12">
        <v>1696218</v>
      </c>
      <c r="AJ14" s="12">
        <f>48919+40770+3825168</f>
        <v>3914857</v>
      </c>
      <c r="AK14" s="12">
        <f>132685+84567+6873429</f>
        <v>7090681</v>
      </c>
      <c r="AL14" s="12">
        <f>14880+78961+2049655</f>
        <v>2143496</v>
      </c>
      <c r="AM14" s="12">
        <f>33438+203176+3958803</f>
        <v>4195417</v>
      </c>
      <c r="AN14" s="12">
        <v>2185249</v>
      </c>
      <c r="AO14" s="12">
        <v>4164970</v>
      </c>
      <c r="AP14" s="12">
        <v>39074717.560765833</v>
      </c>
      <c r="AQ14" s="12">
        <v>68050417.394765884</v>
      </c>
      <c r="AR14" s="12">
        <f>985182+7131224+60992311</f>
        <v>69108717</v>
      </c>
      <c r="AS14" s="12">
        <f>2013616+13417213+118822972</f>
        <v>134253801</v>
      </c>
      <c r="AT14" s="12">
        <f>829104+33702938+2552084</f>
        <v>37084126</v>
      </c>
      <c r="AU14" s="12">
        <f>1849320+64448198+4819432</f>
        <v>71116950</v>
      </c>
      <c r="AV14" s="12">
        <v>413360</v>
      </c>
      <c r="AW14" s="12">
        <v>846993</v>
      </c>
      <c r="AX14" s="12">
        <f>41301-207545+11937919</f>
        <v>11771675</v>
      </c>
      <c r="AY14" s="12">
        <f>54760+168154+21650372</f>
        <v>21873286</v>
      </c>
      <c r="AZ14" s="12">
        <v>213525</v>
      </c>
      <c r="BA14" s="12">
        <v>424479</v>
      </c>
      <c r="BB14" s="12">
        <v>4005910</v>
      </c>
      <c r="BC14" s="12">
        <v>7036944</v>
      </c>
      <c r="BD14" s="12">
        <f>57266+77556+6454926</f>
        <v>6589748</v>
      </c>
      <c r="BE14" s="12">
        <f>98235+247105+12261511</f>
        <v>12606851</v>
      </c>
      <c r="BF14" s="12">
        <v>6633550</v>
      </c>
      <c r="BG14" s="12">
        <v>13093288</v>
      </c>
      <c r="BH14" s="12">
        <v>5329685</v>
      </c>
      <c r="BI14" s="12">
        <v>10310436</v>
      </c>
      <c r="BJ14" s="12">
        <v>11865412</v>
      </c>
      <c r="BK14" s="12">
        <v>21280396</v>
      </c>
      <c r="BL14" s="12">
        <v>13871613</v>
      </c>
      <c r="BM14" s="12">
        <v>27347831</v>
      </c>
      <c r="BN14" s="12">
        <v>46066417</v>
      </c>
      <c r="BO14" s="12">
        <v>88020652</v>
      </c>
      <c r="BP14" s="12">
        <f>13137+167601+2877803</f>
        <v>3058541</v>
      </c>
      <c r="BQ14" s="12">
        <f>28923+254666+5383910</f>
        <v>5667499</v>
      </c>
      <c r="BR14" s="91">
        <f t="shared" si="0"/>
        <v>386995850.17076582</v>
      </c>
      <c r="BS14" s="91">
        <f t="shared" si="1"/>
        <v>720243788.83476591</v>
      </c>
    </row>
    <row r="15" spans="1:71" s="9" customFormat="1" x14ac:dyDescent="0.25">
      <c r="A15" s="4" t="s">
        <v>45</v>
      </c>
      <c r="B15" s="12">
        <f>B9-B14</f>
        <v>-534425</v>
      </c>
      <c r="C15" s="12">
        <f t="shared" ref="C15:K15" si="35">C9-C14</f>
        <v>-1057264</v>
      </c>
      <c r="D15" s="12">
        <f t="shared" si="35"/>
        <v>-711948</v>
      </c>
      <c r="E15" s="12">
        <f t="shared" si="35"/>
        <v>-1358871</v>
      </c>
      <c r="F15" s="12">
        <f t="shared" si="35"/>
        <v>-1841964</v>
      </c>
      <c r="G15" s="12">
        <f t="shared" si="35"/>
        <v>-517467</v>
      </c>
      <c r="H15" s="12">
        <f t="shared" si="35"/>
        <v>-1373054</v>
      </c>
      <c r="I15" s="12">
        <f t="shared" si="35"/>
        <v>-2477613</v>
      </c>
      <c r="J15" s="12">
        <f t="shared" si="35"/>
        <v>2665389</v>
      </c>
      <c r="K15" s="12">
        <f t="shared" si="35"/>
        <v>5705030</v>
      </c>
      <c r="L15" s="12">
        <f t="shared" ref="L15:BP15" si="36">L9-L14</f>
        <v>-62152</v>
      </c>
      <c r="M15" s="12">
        <f t="shared" si="36"/>
        <v>-622219</v>
      </c>
      <c r="N15" s="12">
        <f t="shared" si="36"/>
        <v>962584</v>
      </c>
      <c r="O15" s="12">
        <f t="shared" si="36"/>
        <v>1188157</v>
      </c>
      <c r="P15" s="12">
        <f t="shared" si="36"/>
        <v>-212209</v>
      </c>
      <c r="Q15" s="12">
        <f t="shared" ref="Q15" si="37">Q9-Q14</f>
        <v>-583985</v>
      </c>
      <c r="R15" s="12">
        <f t="shared" si="36"/>
        <v>-85201</v>
      </c>
      <c r="S15" s="12">
        <f t="shared" si="36"/>
        <v>-63055</v>
      </c>
      <c r="T15" s="12">
        <f t="shared" si="36"/>
        <v>-180375</v>
      </c>
      <c r="U15" s="12">
        <f t="shared" si="36"/>
        <v>-332393</v>
      </c>
      <c r="V15" s="12">
        <f t="shared" si="36"/>
        <v>1156421.0500000003</v>
      </c>
      <c r="W15" s="12">
        <f t="shared" si="36"/>
        <v>2856897.5799999996</v>
      </c>
      <c r="X15" s="12">
        <f t="shared" si="36"/>
        <v>398619</v>
      </c>
      <c r="Y15" s="12">
        <f t="shared" ref="Y15" si="38">Y9-Y14</f>
        <v>517530</v>
      </c>
      <c r="Z15" s="12">
        <f t="shared" si="36"/>
        <v>-526335</v>
      </c>
      <c r="AA15" s="12">
        <f t="shared" ref="AA15" si="39">AA9-AA14</f>
        <v>-1217233</v>
      </c>
      <c r="AB15" s="12">
        <f t="shared" si="36"/>
        <v>1088038</v>
      </c>
      <c r="AC15" s="12">
        <f t="shared" ref="AC15" si="40">AC9-AC14</f>
        <v>1951680</v>
      </c>
      <c r="AD15" s="12">
        <f t="shared" si="36"/>
        <v>3732394</v>
      </c>
      <c r="AE15" s="12">
        <f t="shared" ref="AE15" si="41">AE9-AE14</f>
        <v>7475711</v>
      </c>
      <c r="AF15" s="12">
        <f t="shared" si="36"/>
        <v>208850</v>
      </c>
      <c r="AG15" s="12">
        <f t="shared" ref="AG15" si="42">AG9-AG14</f>
        <v>31998</v>
      </c>
      <c r="AH15" s="12">
        <f t="shared" si="36"/>
        <v>-114910</v>
      </c>
      <c r="AI15" s="12">
        <f t="shared" ref="AI15" si="43">AI9-AI14</f>
        <v>-174288</v>
      </c>
      <c r="AJ15" s="12">
        <f t="shared" si="36"/>
        <v>-754441</v>
      </c>
      <c r="AK15" s="12">
        <f t="shared" si="36"/>
        <v>-1066545</v>
      </c>
      <c r="AL15" s="12">
        <f t="shared" si="36"/>
        <v>112620</v>
      </c>
      <c r="AM15" s="12">
        <f t="shared" si="36"/>
        <v>47454</v>
      </c>
      <c r="AN15" s="12">
        <f t="shared" si="36"/>
        <v>250403</v>
      </c>
      <c r="AO15" s="12">
        <f t="shared" ref="AO15" si="44">AO9-AO14</f>
        <v>-225802</v>
      </c>
      <c r="AP15" s="12">
        <f t="shared" si="36"/>
        <v>-9318559.0556880459</v>
      </c>
      <c r="AQ15" s="12">
        <f t="shared" ref="AQ15" si="45">AQ9-AQ14</f>
        <v>-8953868.2569489777</v>
      </c>
      <c r="AR15" s="12">
        <f t="shared" si="36"/>
        <v>1153166</v>
      </c>
      <c r="AS15" s="12">
        <f t="shared" ref="AS15" si="46">AS9-AS14</f>
        <v>35819</v>
      </c>
      <c r="AT15" s="12">
        <f t="shared" si="36"/>
        <v>-3637162</v>
      </c>
      <c r="AU15" s="12">
        <f t="shared" ref="AU15" si="47">AU9-AU14</f>
        <v>-6031962</v>
      </c>
      <c r="AV15" s="12">
        <f t="shared" si="36"/>
        <v>659</v>
      </c>
      <c r="AW15" s="12">
        <f t="shared" ref="AW15" si="48">AW9-AW14</f>
        <v>-27400</v>
      </c>
      <c r="AX15" s="12">
        <f t="shared" si="36"/>
        <v>630298</v>
      </c>
      <c r="AY15" s="12">
        <f t="shared" si="36"/>
        <v>1084792</v>
      </c>
      <c r="AZ15" s="12">
        <f t="shared" si="36"/>
        <v>-196609</v>
      </c>
      <c r="BA15" s="12">
        <f t="shared" si="36"/>
        <v>-393169</v>
      </c>
      <c r="BB15" s="12">
        <f t="shared" si="36"/>
        <v>176461</v>
      </c>
      <c r="BC15" s="12">
        <f t="shared" ref="BC15" si="49">BC9-BC14</f>
        <v>224900</v>
      </c>
      <c r="BD15" s="12">
        <f t="shared" si="36"/>
        <v>-8683</v>
      </c>
      <c r="BE15" s="12">
        <f t="shared" si="36"/>
        <v>-38322</v>
      </c>
      <c r="BF15" s="12">
        <f t="shared" si="36"/>
        <v>1295048</v>
      </c>
      <c r="BG15" s="12">
        <f t="shared" ref="BG15" si="50">BG9-BG14</f>
        <v>2199633</v>
      </c>
      <c r="BH15" s="12">
        <f t="shared" si="36"/>
        <v>1851194</v>
      </c>
      <c r="BI15" s="12">
        <f t="shared" si="36"/>
        <v>3838098</v>
      </c>
      <c r="BJ15" s="12">
        <f t="shared" ref="BJ15:BK15" si="51">BJ9-BJ14</f>
        <v>-1034844</v>
      </c>
      <c r="BK15" s="12">
        <f t="shared" si="51"/>
        <v>-1921954</v>
      </c>
      <c r="BL15" s="12">
        <f t="shared" si="36"/>
        <v>404172</v>
      </c>
      <c r="BM15" s="12">
        <f t="shared" ref="BM15:BO15" si="52">BM9-BM14</f>
        <v>1380362</v>
      </c>
      <c r="BN15" s="12">
        <f t="shared" si="52"/>
        <v>-8452377</v>
      </c>
      <c r="BO15" s="12">
        <f t="shared" si="52"/>
        <v>-12023334</v>
      </c>
      <c r="BP15" s="12">
        <f t="shared" si="36"/>
        <v>260126</v>
      </c>
      <c r="BQ15" s="12">
        <f t="shared" ref="BQ15" si="53">BQ9-BQ14</f>
        <v>435243</v>
      </c>
      <c r="BR15" s="91">
        <f t="shared" si="0"/>
        <v>-12698806.005688045</v>
      </c>
      <c r="BS15" s="91">
        <f t="shared" si="1"/>
        <v>-10113439.676948978</v>
      </c>
    </row>
  </sheetData>
  <mergeCells count="35">
    <mergeCell ref="J3:K3"/>
    <mergeCell ref="H3:I3"/>
    <mergeCell ref="F3:G3"/>
    <mergeCell ref="D3:E3"/>
    <mergeCell ref="B3:C3"/>
    <mergeCell ref="L3:M3"/>
    <mergeCell ref="AH3:AI3"/>
    <mergeCell ref="AF3:AG3"/>
    <mergeCell ref="AD3:AE3"/>
    <mergeCell ref="AB3:AC3"/>
    <mergeCell ref="Z3:AA3"/>
    <mergeCell ref="X3:Y3"/>
    <mergeCell ref="V3:W3"/>
    <mergeCell ref="T3:U3"/>
    <mergeCell ref="R3:S3"/>
    <mergeCell ref="P3:Q3"/>
    <mergeCell ref="N3:O3"/>
    <mergeCell ref="AJ3:AK3"/>
    <mergeCell ref="BF3:BG3"/>
    <mergeCell ref="BD3:BE3"/>
    <mergeCell ref="BB3:BC3"/>
    <mergeCell ref="AZ3:BA3"/>
    <mergeCell ref="AX3:AY3"/>
    <mergeCell ref="AV3:AW3"/>
    <mergeCell ref="AT3:AU3"/>
    <mergeCell ref="AR3:AS3"/>
    <mergeCell ref="AP3:AQ3"/>
    <mergeCell ref="AN3:AO3"/>
    <mergeCell ref="AL3:AM3"/>
    <mergeCell ref="BH3:BI3"/>
    <mergeCell ref="BR3:BS3"/>
    <mergeCell ref="BP3:BQ3"/>
    <mergeCell ref="BN3:BO3"/>
    <mergeCell ref="BL3:BM3"/>
    <mergeCell ref="BJ3:BK3"/>
  </mergeCells>
  <pageMargins left="0.7" right="0.7" top="0.75" bottom="0.75" header="0.3" footer="0.3"/>
  <pageSetup paperSize="9" orientation="portrait" r:id="rId1"/>
  <ignoredErrors>
    <ignoredError sqref="BR13 BR7 BR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35" width="16" customWidth="1"/>
    <col min="36" max="36" width="16" style="5" customWidth="1"/>
  </cols>
  <sheetData>
    <row r="1" spans="1:36" ht="18.75" x14ac:dyDescent="0.3">
      <c r="A1" s="14" t="s">
        <v>301</v>
      </c>
    </row>
    <row r="2" spans="1:36" x14ac:dyDescent="0.25">
      <c r="A2" s="13" t="s">
        <v>48</v>
      </c>
    </row>
    <row r="3" spans="1:36" x14ac:dyDescent="0.25">
      <c r="A3" s="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2" t="s">
        <v>32</v>
      </c>
      <c r="AH3" s="2" t="s">
        <v>33</v>
      </c>
      <c r="AI3" s="22" t="s">
        <v>34</v>
      </c>
      <c r="AJ3" s="94" t="s">
        <v>35</v>
      </c>
    </row>
    <row r="4" spans="1:36" x14ac:dyDescent="0.25">
      <c r="A4" s="15" t="s">
        <v>57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100"/>
    </row>
    <row r="5" spans="1:36" x14ac:dyDescent="0.25">
      <c r="A5" s="16" t="s">
        <v>58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101">
        <f t="shared" ref="AJ5:AJ32" si="0">SUM(B5:AI5)</f>
        <v>0</v>
      </c>
    </row>
    <row r="6" spans="1:36" x14ac:dyDescent="0.25">
      <c r="A6" s="16" t="s">
        <v>59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101">
        <f t="shared" si="0"/>
        <v>0</v>
      </c>
    </row>
    <row r="7" spans="1:36" x14ac:dyDescent="0.25">
      <c r="A7" s="16" t="s">
        <v>60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11"/>
      <c r="U7" s="11"/>
      <c r="V7" s="11">
        <v>235389</v>
      </c>
      <c r="W7" s="11">
        <v>2439085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>
        <v>913107</v>
      </c>
      <c r="AI7" s="38"/>
      <c r="AJ7" s="101">
        <f t="shared" si="0"/>
        <v>3587581</v>
      </c>
    </row>
    <row r="8" spans="1:36" x14ac:dyDescent="0.25">
      <c r="A8" s="16" t="s">
        <v>61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1"/>
      <c r="U8" s="11"/>
      <c r="V8" s="11"/>
      <c r="W8" s="11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101">
        <f t="shared" si="0"/>
        <v>0</v>
      </c>
    </row>
    <row r="9" spans="1:36" x14ac:dyDescent="0.25">
      <c r="A9" s="16" t="s">
        <v>62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11"/>
      <c r="U9" s="11"/>
      <c r="V9" s="11"/>
      <c r="W9" s="11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101">
        <f t="shared" si="0"/>
        <v>0</v>
      </c>
    </row>
    <row r="10" spans="1:36" x14ac:dyDescent="0.25">
      <c r="A10" s="16" t="s">
        <v>63</v>
      </c>
      <c r="B10" s="38"/>
      <c r="C10" s="38"/>
      <c r="D10" s="38">
        <v>133026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11"/>
      <c r="U10" s="11"/>
      <c r="V10" s="11"/>
      <c r="W10" s="11">
        <v>607307</v>
      </c>
      <c r="X10" s="38">
        <f>315453+1077350</f>
        <v>1392803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>
        <v>576225</v>
      </c>
      <c r="AI10" s="38"/>
      <c r="AJ10" s="101">
        <f t="shared" si="0"/>
        <v>2709361</v>
      </c>
    </row>
    <row r="11" spans="1:36" x14ac:dyDescent="0.25">
      <c r="A11" s="16" t="s">
        <v>64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11">
        <v>50065</v>
      </c>
      <c r="U11" s="11"/>
      <c r="V11" s="11">
        <v>153718</v>
      </c>
      <c r="W11" s="11"/>
      <c r="X11" s="38">
        <v>64299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>
        <v>120886</v>
      </c>
      <c r="AI11" s="38"/>
      <c r="AJ11" s="101">
        <f t="shared" si="0"/>
        <v>388968</v>
      </c>
    </row>
    <row r="12" spans="1:36" s="5" customFormat="1" x14ac:dyDescent="0.25">
      <c r="A12" s="17" t="s">
        <v>56</v>
      </c>
      <c r="B12" s="39">
        <f>SUM(B5:B11)</f>
        <v>0</v>
      </c>
      <c r="C12" s="39">
        <f t="shared" ref="C12:AI12" si="1">SUM(C5:C11)</f>
        <v>0</v>
      </c>
      <c r="D12" s="39">
        <f t="shared" si="1"/>
        <v>133026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50065</v>
      </c>
      <c r="U12" s="39">
        <f t="shared" si="1"/>
        <v>0</v>
      </c>
      <c r="V12" s="39">
        <f t="shared" si="1"/>
        <v>389107</v>
      </c>
      <c r="W12" s="39">
        <f t="shared" si="1"/>
        <v>3046392</v>
      </c>
      <c r="X12" s="39">
        <f t="shared" si="1"/>
        <v>1457102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39">
        <f t="shared" si="1"/>
        <v>0</v>
      </c>
      <c r="AF12" s="39">
        <f t="shared" si="1"/>
        <v>0</v>
      </c>
      <c r="AG12" s="39">
        <f t="shared" si="1"/>
        <v>0</v>
      </c>
      <c r="AH12" s="39">
        <f t="shared" si="1"/>
        <v>1610218</v>
      </c>
      <c r="AI12" s="39">
        <f t="shared" si="1"/>
        <v>0</v>
      </c>
      <c r="AJ12" s="100">
        <f t="shared" si="0"/>
        <v>6685910</v>
      </c>
    </row>
    <row r="13" spans="1:36" x14ac:dyDescent="0.25">
      <c r="A13" s="15" t="s">
        <v>65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100"/>
    </row>
    <row r="14" spans="1:36" x14ac:dyDescent="0.25">
      <c r="A14" s="16" t="s">
        <v>66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11"/>
      <c r="U14" s="11"/>
      <c r="V14" s="11">
        <v>89488</v>
      </c>
      <c r="W14" s="11">
        <v>357672</v>
      </c>
      <c r="X14" s="38">
        <v>229420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>
        <v>576225</v>
      </c>
      <c r="AI14" s="38"/>
      <c r="AJ14" s="101">
        <f t="shared" si="0"/>
        <v>1252805</v>
      </c>
    </row>
    <row r="15" spans="1:36" x14ac:dyDescent="0.25">
      <c r="A15" s="16" t="s">
        <v>67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11"/>
      <c r="U15" s="11"/>
      <c r="V15" s="11"/>
      <c r="W15" s="11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101">
        <f t="shared" si="0"/>
        <v>0</v>
      </c>
    </row>
    <row r="16" spans="1:36" x14ac:dyDescent="0.25">
      <c r="A16" s="16" t="s">
        <v>68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11"/>
      <c r="U16" s="11"/>
      <c r="V16" s="11"/>
      <c r="W16" s="11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101">
        <f t="shared" si="0"/>
        <v>0</v>
      </c>
    </row>
    <row r="17" spans="1:36" x14ac:dyDescent="0.25">
      <c r="A17" s="16" t="s">
        <v>69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11"/>
      <c r="U17" s="11"/>
      <c r="V17" s="11">
        <v>298980</v>
      </c>
      <c r="W17" s="11"/>
      <c r="X17" s="38">
        <v>150332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>
        <v>176790</v>
      </c>
      <c r="AI17" s="38"/>
      <c r="AJ17" s="101">
        <f t="shared" si="0"/>
        <v>626102</v>
      </c>
    </row>
    <row r="18" spans="1:36" x14ac:dyDescent="0.25">
      <c r="A18" s="16" t="s">
        <v>70</v>
      </c>
      <c r="B18" s="38"/>
      <c r="C18" s="38"/>
      <c r="D18" s="38">
        <v>133026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11">
        <v>50065</v>
      </c>
      <c r="U18" s="11"/>
      <c r="V18" s="11">
        <v>639</v>
      </c>
      <c r="W18" s="11">
        <v>2688720</v>
      </c>
      <c r="X18" s="38">
        <v>1077350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>
        <v>857203</v>
      </c>
      <c r="AI18" s="38"/>
      <c r="AJ18" s="101">
        <f t="shared" si="0"/>
        <v>4807003</v>
      </c>
    </row>
    <row r="19" spans="1:36" s="5" customFormat="1" x14ac:dyDescent="0.25">
      <c r="A19" s="17" t="s">
        <v>56</v>
      </c>
      <c r="B19" s="39">
        <f>SUM(B14:B18)</f>
        <v>0</v>
      </c>
      <c r="C19" s="39">
        <f t="shared" ref="C19:AI19" si="2">SUM(C14:C18)</f>
        <v>0</v>
      </c>
      <c r="D19" s="39">
        <f t="shared" si="2"/>
        <v>133026</v>
      </c>
      <c r="E19" s="39">
        <f t="shared" si="2"/>
        <v>0</v>
      </c>
      <c r="F19" s="39">
        <f t="shared" si="2"/>
        <v>0</v>
      </c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  <c r="L19" s="39">
        <f t="shared" si="2"/>
        <v>0</v>
      </c>
      <c r="M19" s="39">
        <f t="shared" si="2"/>
        <v>0</v>
      </c>
      <c r="N19" s="39">
        <f t="shared" si="2"/>
        <v>0</v>
      </c>
      <c r="O19" s="39">
        <f t="shared" si="2"/>
        <v>0</v>
      </c>
      <c r="P19" s="39">
        <f t="shared" si="2"/>
        <v>0</v>
      </c>
      <c r="Q19" s="39">
        <f t="shared" si="2"/>
        <v>0</v>
      </c>
      <c r="R19" s="39">
        <f t="shared" si="2"/>
        <v>0</v>
      </c>
      <c r="S19" s="39">
        <f t="shared" si="2"/>
        <v>0</v>
      </c>
      <c r="T19" s="39">
        <f t="shared" si="2"/>
        <v>50065</v>
      </c>
      <c r="U19" s="39">
        <f t="shared" si="2"/>
        <v>0</v>
      </c>
      <c r="V19" s="39">
        <f t="shared" si="2"/>
        <v>389107</v>
      </c>
      <c r="W19" s="39">
        <f t="shared" si="2"/>
        <v>3046392</v>
      </c>
      <c r="X19" s="39">
        <f t="shared" si="2"/>
        <v>1457102</v>
      </c>
      <c r="Y19" s="39">
        <f t="shared" si="2"/>
        <v>0</v>
      </c>
      <c r="Z19" s="39">
        <f t="shared" si="2"/>
        <v>0</v>
      </c>
      <c r="AA19" s="39">
        <f t="shared" si="2"/>
        <v>0</v>
      </c>
      <c r="AB19" s="39">
        <f t="shared" si="2"/>
        <v>0</v>
      </c>
      <c r="AC19" s="39">
        <f t="shared" si="2"/>
        <v>0</v>
      </c>
      <c r="AD19" s="39">
        <f t="shared" si="2"/>
        <v>0</v>
      </c>
      <c r="AE19" s="39">
        <f t="shared" si="2"/>
        <v>0</v>
      </c>
      <c r="AF19" s="39">
        <f t="shared" si="2"/>
        <v>0</v>
      </c>
      <c r="AG19" s="39">
        <f t="shared" si="2"/>
        <v>0</v>
      </c>
      <c r="AH19" s="39">
        <f t="shared" si="2"/>
        <v>1610218</v>
      </c>
      <c r="AI19" s="39">
        <f t="shared" si="2"/>
        <v>0</v>
      </c>
      <c r="AJ19" s="100">
        <f t="shared" si="0"/>
        <v>6685910</v>
      </c>
    </row>
    <row r="20" spans="1:36" x14ac:dyDescent="0.25">
      <c r="A20" s="15" t="s">
        <v>71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100"/>
    </row>
    <row r="21" spans="1:36" x14ac:dyDescent="0.25">
      <c r="A21" s="16" t="s">
        <v>72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101">
        <f t="shared" si="0"/>
        <v>0</v>
      </c>
    </row>
    <row r="22" spans="1:36" x14ac:dyDescent="0.25">
      <c r="A22" s="16" t="s">
        <v>60</v>
      </c>
      <c r="B22" s="38"/>
      <c r="C22" s="38"/>
      <c r="D22" s="38">
        <v>133026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11">
        <v>50065</v>
      </c>
      <c r="U22" s="11"/>
      <c r="V22" s="11">
        <v>98320</v>
      </c>
      <c r="W22" s="11">
        <v>3046392</v>
      </c>
      <c r="X22" s="38">
        <v>1314542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>
        <v>1430043</v>
      </c>
      <c r="AI22" s="38"/>
      <c r="AJ22" s="101">
        <f t="shared" si="0"/>
        <v>6072388</v>
      </c>
    </row>
    <row r="23" spans="1:36" x14ac:dyDescent="0.25">
      <c r="A23" s="16" t="s">
        <v>61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101">
        <f t="shared" si="0"/>
        <v>0</v>
      </c>
    </row>
    <row r="24" spans="1:36" x14ac:dyDescent="0.25">
      <c r="A24" s="16" t="s">
        <v>73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101">
        <f t="shared" si="0"/>
        <v>0</v>
      </c>
    </row>
    <row r="25" spans="1:36" x14ac:dyDescent="0.25">
      <c r="A25" s="16" t="s">
        <v>60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290787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>
        <v>180175</v>
      </c>
      <c r="AI25" s="38"/>
      <c r="AJ25" s="101">
        <f t="shared" si="0"/>
        <v>470962</v>
      </c>
    </row>
    <row r="26" spans="1:36" x14ac:dyDescent="0.25">
      <c r="A26" s="16" t="s">
        <v>61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101">
        <f t="shared" si="0"/>
        <v>0</v>
      </c>
    </row>
    <row r="27" spans="1:36" x14ac:dyDescent="0.25">
      <c r="A27" s="16" t="s">
        <v>74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>
        <v>142560</v>
      </c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101">
        <f t="shared" si="0"/>
        <v>142560</v>
      </c>
    </row>
    <row r="28" spans="1:36" s="5" customFormat="1" x14ac:dyDescent="0.25">
      <c r="A28" s="17" t="s">
        <v>56</v>
      </c>
      <c r="B28" s="39">
        <f>SUM(B21:B27)</f>
        <v>0</v>
      </c>
      <c r="C28" s="39">
        <f t="shared" ref="C28:AI28" si="3">SUM(C21:C27)</f>
        <v>0</v>
      </c>
      <c r="D28" s="39">
        <f t="shared" si="3"/>
        <v>133026</v>
      </c>
      <c r="E28" s="39">
        <f t="shared" si="3"/>
        <v>0</v>
      </c>
      <c r="F28" s="39">
        <f t="shared" si="3"/>
        <v>0</v>
      </c>
      <c r="G28" s="39">
        <f t="shared" si="3"/>
        <v>0</v>
      </c>
      <c r="H28" s="39">
        <f t="shared" si="3"/>
        <v>0</v>
      </c>
      <c r="I28" s="39">
        <f t="shared" si="3"/>
        <v>0</v>
      </c>
      <c r="J28" s="39">
        <f t="shared" si="3"/>
        <v>0</v>
      </c>
      <c r="K28" s="39">
        <f t="shared" si="3"/>
        <v>0</v>
      </c>
      <c r="L28" s="39">
        <f t="shared" si="3"/>
        <v>0</v>
      </c>
      <c r="M28" s="39">
        <f t="shared" si="3"/>
        <v>0</v>
      </c>
      <c r="N28" s="39">
        <f t="shared" si="3"/>
        <v>0</v>
      </c>
      <c r="O28" s="39">
        <f t="shared" si="3"/>
        <v>0</v>
      </c>
      <c r="P28" s="39">
        <f t="shared" si="3"/>
        <v>0</v>
      </c>
      <c r="Q28" s="39">
        <f t="shared" si="3"/>
        <v>0</v>
      </c>
      <c r="R28" s="39">
        <f t="shared" si="3"/>
        <v>0</v>
      </c>
      <c r="S28" s="39">
        <f t="shared" si="3"/>
        <v>0</v>
      </c>
      <c r="T28" s="39">
        <f t="shared" si="3"/>
        <v>50065</v>
      </c>
      <c r="U28" s="39">
        <f t="shared" si="3"/>
        <v>0</v>
      </c>
      <c r="V28" s="39">
        <f t="shared" si="3"/>
        <v>389107</v>
      </c>
      <c r="W28" s="39">
        <f t="shared" si="3"/>
        <v>3046392</v>
      </c>
      <c r="X28" s="39">
        <f t="shared" si="3"/>
        <v>1457102</v>
      </c>
      <c r="Y28" s="39">
        <f t="shared" si="3"/>
        <v>0</v>
      </c>
      <c r="Z28" s="39">
        <f t="shared" si="3"/>
        <v>0</v>
      </c>
      <c r="AA28" s="39">
        <f t="shared" si="3"/>
        <v>0</v>
      </c>
      <c r="AB28" s="39">
        <f t="shared" si="3"/>
        <v>0</v>
      </c>
      <c r="AC28" s="39">
        <f t="shared" si="3"/>
        <v>0</v>
      </c>
      <c r="AD28" s="39">
        <f t="shared" si="3"/>
        <v>0</v>
      </c>
      <c r="AE28" s="39">
        <f t="shared" si="3"/>
        <v>0</v>
      </c>
      <c r="AF28" s="39">
        <f t="shared" si="3"/>
        <v>0</v>
      </c>
      <c r="AG28" s="39">
        <f t="shared" si="3"/>
        <v>0</v>
      </c>
      <c r="AH28" s="39">
        <f t="shared" si="3"/>
        <v>1610218</v>
      </c>
      <c r="AI28" s="39">
        <f t="shared" si="3"/>
        <v>0</v>
      </c>
      <c r="AJ28" s="100">
        <f t="shared" si="0"/>
        <v>6685910</v>
      </c>
    </row>
    <row r="29" spans="1:36" x14ac:dyDescent="0.25">
      <c r="A29" s="15" t="s">
        <v>75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100"/>
    </row>
    <row r="30" spans="1:36" x14ac:dyDescent="0.25">
      <c r="A30" s="16" t="s">
        <v>76</v>
      </c>
      <c r="B30" s="38"/>
      <c r="C30" s="38"/>
      <c r="D30" s="38">
        <v>20045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11"/>
      <c r="U30" s="11"/>
      <c r="V30" s="11">
        <v>300</v>
      </c>
      <c r="W30" s="11">
        <v>72489</v>
      </c>
      <c r="X30" s="38">
        <v>48920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>
        <v>100692</v>
      </c>
      <c r="AI30" s="38"/>
      <c r="AJ30" s="101">
        <f t="shared" si="0"/>
        <v>242446</v>
      </c>
    </row>
    <row r="31" spans="1:36" x14ac:dyDescent="0.25">
      <c r="A31" s="16" t="s">
        <v>77</v>
      </c>
      <c r="B31" s="38"/>
      <c r="C31" s="38"/>
      <c r="D31" s="38">
        <v>112981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11">
        <v>50065</v>
      </c>
      <c r="U31" s="11"/>
      <c r="V31" s="11">
        <v>388807</v>
      </c>
      <c r="W31" s="11">
        <v>2973903</v>
      </c>
      <c r="X31" s="38">
        <v>1408182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>
        <v>1509526</v>
      </c>
      <c r="AI31" s="38"/>
      <c r="AJ31" s="101">
        <f t="shared" si="0"/>
        <v>6443464</v>
      </c>
    </row>
    <row r="32" spans="1:36" s="5" customFormat="1" x14ac:dyDescent="0.25">
      <c r="A32" s="17" t="s">
        <v>56</v>
      </c>
      <c r="B32" s="39">
        <f>SUM(B30:B31)</f>
        <v>0</v>
      </c>
      <c r="C32" s="39">
        <f t="shared" ref="C32:AI32" si="4">SUM(C30:C31)</f>
        <v>0</v>
      </c>
      <c r="D32" s="39">
        <f t="shared" si="4"/>
        <v>133026</v>
      </c>
      <c r="E32" s="39">
        <f t="shared" si="4"/>
        <v>0</v>
      </c>
      <c r="F32" s="39">
        <f t="shared" si="4"/>
        <v>0</v>
      </c>
      <c r="G32" s="39">
        <f t="shared" si="4"/>
        <v>0</v>
      </c>
      <c r="H32" s="39">
        <f t="shared" si="4"/>
        <v>0</v>
      </c>
      <c r="I32" s="39">
        <f t="shared" si="4"/>
        <v>0</v>
      </c>
      <c r="J32" s="39">
        <f t="shared" si="4"/>
        <v>0</v>
      </c>
      <c r="K32" s="39">
        <f t="shared" si="4"/>
        <v>0</v>
      </c>
      <c r="L32" s="39">
        <f t="shared" si="4"/>
        <v>0</v>
      </c>
      <c r="M32" s="39">
        <f t="shared" si="4"/>
        <v>0</v>
      </c>
      <c r="N32" s="39">
        <f t="shared" si="4"/>
        <v>0</v>
      </c>
      <c r="O32" s="39">
        <f t="shared" si="4"/>
        <v>0</v>
      </c>
      <c r="P32" s="39">
        <f t="shared" si="4"/>
        <v>0</v>
      </c>
      <c r="Q32" s="39">
        <f t="shared" si="4"/>
        <v>0</v>
      </c>
      <c r="R32" s="39">
        <f t="shared" si="4"/>
        <v>0</v>
      </c>
      <c r="S32" s="39">
        <f t="shared" si="4"/>
        <v>0</v>
      </c>
      <c r="T32" s="39">
        <f t="shared" si="4"/>
        <v>50065</v>
      </c>
      <c r="U32" s="39">
        <f t="shared" si="4"/>
        <v>0</v>
      </c>
      <c r="V32" s="39">
        <f t="shared" si="4"/>
        <v>389107</v>
      </c>
      <c r="W32" s="39">
        <f t="shared" si="4"/>
        <v>3046392</v>
      </c>
      <c r="X32" s="39">
        <f t="shared" si="4"/>
        <v>1457102</v>
      </c>
      <c r="Y32" s="39">
        <f t="shared" si="4"/>
        <v>0</v>
      </c>
      <c r="Z32" s="39">
        <f t="shared" si="4"/>
        <v>0</v>
      </c>
      <c r="AA32" s="39">
        <f t="shared" si="4"/>
        <v>0</v>
      </c>
      <c r="AB32" s="39">
        <f t="shared" si="4"/>
        <v>0</v>
      </c>
      <c r="AC32" s="39">
        <f t="shared" si="4"/>
        <v>0</v>
      </c>
      <c r="AD32" s="39">
        <f t="shared" si="4"/>
        <v>0</v>
      </c>
      <c r="AE32" s="39">
        <f t="shared" si="4"/>
        <v>0</v>
      </c>
      <c r="AF32" s="39">
        <f t="shared" si="4"/>
        <v>0</v>
      </c>
      <c r="AG32" s="39">
        <f t="shared" si="4"/>
        <v>0</v>
      </c>
      <c r="AH32" s="39">
        <f t="shared" si="4"/>
        <v>1610218</v>
      </c>
      <c r="AI32" s="39">
        <f t="shared" si="4"/>
        <v>0</v>
      </c>
      <c r="AJ32" s="100">
        <f t="shared" si="0"/>
        <v>6685910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302</v>
      </c>
    </row>
    <row r="2" spans="1:36" x14ac:dyDescent="0.25">
      <c r="A2" s="7" t="s">
        <v>48</v>
      </c>
    </row>
    <row r="3" spans="1:36" x14ac:dyDescent="0.25">
      <c r="A3" s="1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14</v>
      </c>
      <c r="P3" s="47" t="s">
        <v>15</v>
      </c>
      <c r="Q3" s="47" t="s">
        <v>16</v>
      </c>
      <c r="R3" s="47" t="s">
        <v>17</v>
      </c>
      <c r="S3" s="47" t="s">
        <v>18</v>
      </c>
      <c r="T3" s="47" t="s">
        <v>19</v>
      </c>
      <c r="U3" s="47" t="s">
        <v>20</v>
      </c>
      <c r="V3" s="47" t="s">
        <v>21</v>
      </c>
      <c r="W3" s="47" t="s">
        <v>22</v>
      </c>
      <c r="X3" s="47" t="s">
        <v>23</v>
      </c>
      <c r="Y3" s="47" t="s">
        <v>24</v>
      </c>
      <c r="Z3" s="47" t="s">
        <v>25</v>
      </c>
      <c r="AA3" s="47" t="s">
        <v>26</v>
      </c>
      <c r="AB3" s="47" t="s">
        <v>27</v>
      </c>
      <c r="AC3" s="47" t="s">
        <v>28</v>
      </c>
      <c r="AD3" s="47" t="s">
        <v>29</v>
      </c>
      <c r="AE3" s="47" t="s">
        <v>30</v>
      </c>
      <c r="AF3" s="47" t="s">
        <v>31</v>
      </c>
      <c r="AG3" s="47" t="s">
        <v>32</v>
      </c>
      <c r="AH3" s="48" t="s">
        <v>33</v>
      </c>
      <c r="AI3" s="47" t="s">
        <v>34</v>
      </c>
      <c r="AJ3" s="94" t="s">
        <v>35</v>
      </c>
    </row>
    <row r="4" spans="1:36" x14ac:dyDescent="0.25">
      <c r="A4" s="3" t="s">
        <v>78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91">
        <f>SUM(B4:AI4)</f>
        <v>0</v>
      </c>
    </row>
    <row r="5" spans="1:36" x14ac:dyDescent="0.25">
      <c r="A5" s="3" t="s">
        <v>79</v>
      </c>
      <c r="B5" s="11">
        <v>69202</v>
      </c>
      <c r="C5" s="11">
        <v>451132</v>
      </c>
      <c r="D5" s="11">
        <v>998216</v>
      </c>
      <c r="E5" s="11">
        <f>152212+2149</f>
        <v>154361</v>
      </c>
      <c r="F5" s="11">
        <v>171458</v>
      </c>
      <c r="G5" s="11">
        <v>41170</v>
      </c>
      <c r="H5" s="11">
        <v>163433</v>
      </c>
      <c r="I5" s="11">
        <v>24959</v>
      </c>
      <c r="J5" s="11">
        <v>311901</v>
      </c>
      <c r="K5" s="11">
        <v>74269</v>
      </c>
      <c r="L5" s="11">
        <v>14559.38</v>
      </c>
      <c r="M5" s="11">
        <v>39572</v>
      </c>
      <c r="N5" s="11">
        <v>15306</v>
      </c>
      <c r="O5" s="11">
        <v>349835</v>
      </c>
      <c r="P5" s="11">
        <v>575768</v>
      </c>
      <c r="Q5" s="11">
        <v>187804</v>
      </c>
      <c r="R5" s="11">
        <v>29473</v>
      </c>
      <c r="S5" s="11">
        <v>128605</v>
      </c>
      <c r="T5" s="11">
        <v>195419</v>
      </c>
      <c r="U5" s="11">
        <v>192641</v>
      </c>
      <c r="V5" s="11">
        <v>35782</v>
      </c>
      <c r="W5" s="11">
        <v>522459</v>
      </c>
      <c r="X5" s="11">
        <v>155087</v>
      </c>
      <c r="Y5" s="11">
        <v>9854</v>
      </c>
      <c r="Z5" s="11">
        <v>117474</v>
      </c>
      <c r="AA5" s="11">
        <v>365206</v>
      </c>
      <c r="AB5" s="11">
        <v>326738</v>
      </c>
      <c r="AC5" s="11">
        <v>75103</v>
      </c>
      <c r="AD5" s="11">
        <v>342796</v>
      </c>
      <c r="AE5" s="11">
        <v>30065</v>
      </c>
      <c r="AF5" s="11">
        <v>363976</v>
      </c>
      <c r="AG5" s="11">
        <v>616451</v>
      </c>
      <c r="AH5" s="11">
        <v>34935</v>
      </c>
      <c r="AI5" s="11">
        <v>39928</v>
      </c>
      <c r="AJ5" s="92">
        <f t="shared" ref="AJ5:AJ19" si="0">SUM(B5:AI5)</f>
        <v>7224937.3799999999</v>
      </c>
    </row>
    <row r="6" spans="1:36" x14ac:dyDescent="0.25">
      <c r="A6" s="3" t="s">
        <v>80</v>
      </c>
      <c r="B6" s="11"/>
      <c r="C6" s="11"/>
      <c r="D6" s="11"/>
      <c r="E6" s="11"/>
      <c r="F6" s="11">
        <v>846062</v>
      </c>
      <c r="G6" s="11"/>
      <c r="H6" s="11">
        <v>58032</v>
      </c>
      <c r="I6" s="11"/>
      <c r="J6" s="11"/>
      <c r="K6" s="11"/>
      <c r="L6" s="11">
        <v>748152.33</v>
      </c>
      <c r="M6" s="11"/>
      <c r="N6" s="11"/>
      <c r="O6" s="11"/>
      <c r="P6" s="11">
        <v>2411770</v>
      </c>
      <c r="Q6" s="11">
        <v>37849</v>
      </c>
      <c r="R6" s="11"/>
      <c r="S6" s="11"/>
      <c r="T6" s="11"/>
      <c r="U6" s="11"/>
      <c r="V6" s="11">
        <v>6452</v>
      </c>
      <c r="W6" s="11">
        <v>137068</v>
      </c>
      <c r="X6" s="11">
        <v>59546</v>
      </c>
      <c r="Y6" s="11"/>
      <c r="Z6" s="11"/>
      <c r="AA6" s="11"/>
      <c r="AB6" s="11"/>
      <c r="AC6" s="11"/>
      <c r="AD6" s="11"/>
      <c r="AE6" s="11"/>
      <c r="AF6" s="11">
        <v>11600</v>
      </c>
      <c r="AG6" s="11"/>
      <c r="AH6" s="11">
        <v>125859</v>
      </c>
      <c r="AI6" s="11"/>
      <c r="AJ6" s="92">
        <f t="shared" si="0"/>
        <v>4442390.33</v>
      </c>
    </row>
    <row r="7" spans="1:36" x14ac:dyDescent="0.25">
      <c r="A7" s="3" t="s">
        <v>81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>
        <v>294134</v>
      </c>
      <c r="W7" s="11"/>
      <c r="X7" s="11"/>
      <c r="Y7" s="11"/>
      <c r="Z7" s="11"/>
      <c r="AA7" s="11"/>
      <c r="AB7" s="11"/>
      <c r="AC7" s="11"/>
      <c r="AD7" s="11"/>
      <c r="AE7" s="11">
        <v>212976</v>
      </c>
      <c r="AF7" s="11"/>
      <c r="AG7" s="11"/>
      <c r="AH7" s="11">
        <v>26627</v>
      </c>
      <c r="AI7" s="11"/>
      <c r="AJ7" s="92">
        <f t="shared" si="0"/>
        <v>533737</v>
      </c>
    </row>
    <row r="8" spans="1:36" x14ac:dyDescent="0.25">
      <c r="A8" s="3" t="s">
        <v>82</v>
      </c>
      <c r="B8" s="11">
        <v>92</v>
      </c>
      <c r="C8" s="11">
        <v>52520</v>
      </c>
      <c r="D8" s="11">
        <v>913164</v>
      </c>
      <c r="E8" s="11"/>
      <c r="F8" s="11">
        <v>64227</v>
      </c>
      <c r="G8" s="11">
        <v>19481</v>
      </c>
      <c r="H8" s="11"/>
      <c r="I8" s="11">
        <v>8520</v>
      </c>
      <c r="J8" s="11">
        <v>35703</v>
      </c>
      <c r="K8" s="11">
        <v>1369</v>
      </c>
      <c r="L8" s="11">
        <v>54067.64</v>
      </c>
      <c r="M8" s="11">
        <v>34075</v>
      </c>
      <c r="N8" s="11">
        <v>25266</v>
      </c>
      <c r="O8" s="11">
        <v>11140</v>
      </c>
      <c r="P8" s="11"/>
      <c r="Q8" s="11"/>
      <c r="R8" s="11">
        <v>1050</v>
      </c>
      <c r="S8" s="11"/>
      <c r="T8" s="11">
        <v>18601</v>
      </c>
      <c r="U8" s="11">
        <v>11439</v>
      </c>
      <c r="V8" s="11"/>
      <c r="W8" s="11">
        <v>290340</v>
      </c>
      <c r="X8" s="11">
        <v>216990</v>
      </c>
      <c r="Y8" s="11">
        <v>269</v>
      </c>
      <c r="Z8" s="11">
        <v>21257</v>
      </c>
      <c r="AA8" s="11"/>
      <c r="AB8" s="11">
        <v>11040</v>
      </c>
      <c r="AC8" s="11">
        <v>63012</v>
      </c>
      <c r="AD8" s="11">
        <v>116679</v>
      </c>
      <c r="AE8" s="11">
        <v>14854</v>
      </c>
      <c r="AF8" s="11"/>
      <c r="AG8" s="11">
        <v>75526</v>
      </c>
      <c r="AH8" s="11">
        <v>44267</v>
      </c>
      <c r="AI8" s="11">
        <v>995</v>
      </c>
      <c r="AJ8" s="92">
        <f t="shared" si="0"/>
        <v>2105943.6399999997</v>
      </c>
    </row>
    <row r="9" spans="1:36" x14ac:dyDescent="0.25">
      <c r="A9" s="3" t="s">
        <v>83</v>
      </c>
      <c r="B9" s="11"/>
      <c r="C9" s="11"/>
      <c r="D9" s="11">
        <v>289328</v>
      </c>
      <c r="E9" s="11"/>
      <c r="F9" s="11">
        <v>2281353</v>
      </c>
      <c r="G9" s="11"/>
      <c r="H9" s="11">
        <v>318576</v>
      </c>
      <c r="I9" s="11"/>
      <c r="J9" s="11"/>
      <c r="K9" s="11"/>
      <c r="L9" s="11">
        <v>287809.61</v>
      </c>
      <c r="M9" s="11"/>
      <c r="N9" s="11"/>
      <c r="O9" s="11">
        <v>1143028</v>
      </c>
      <c r="P9" s="11">
        <v>403010</v>
      </c>
      <c r="Q9" s="11">
        <v>10339</v>
      </c>
      <c r="R9" s="11"/>
      <c r="S9" s="11"/>
      <c r="T9" s="11"/>
      <c r="U9" s="11"/>
      <c r="V9" s="11">
        <v>808962</v>
      </c>
      <c r="W9" s="11">
        <v>1073695</v>
      </c>
      <c r="X9" s="11">
        <v>566577</v>
      </c>
      <c r="Y9" s="11"/>
      <c r="Z9" s="11"/>
      <c r="AA9" s="11"/>
      <c r="AB9" s="11"/>
      <c r="AC9" s="11"/>
      <c r="AD9" s="11"/>
      <c r="AE9" s="11">
        <v>147367</v>
      </c>
      <c r="AF9" s="11">
        <v>14708</v>
      </c>
      <c r="AG9" s="11">
        <v>780605</v>
      </c>
      <c r="AH9" s="11">
        <v>367241</v>
      </c>
      <c r="AI9" s="11"/>
      <c r="AJ9" s="92">
        <f t="shared" si="0"/>
        <v>8492598.6099999994</v>
      </c>
    </row>
    <row r="10" spans="1:36" x14ac:dyDescent="0.25">
      <c r="A10" s="3" t="s">
        <v>84</v>
      </c>
      <c r="B10" s="11">
        <v>1477</v>
      </c>
      <c r="C10" s="11">
        <v>5911</v>
      </c>
      <c r="D10" s="11">
        <v>71077</v>
      </c>
      <c r="E10" s="11">
        <v>23901</v>
      </c>
      <c r="F10" s="11">
        <v>165429</v>
      </c>
      <c r="G10" s="11">
        <v>3828</v>
      </c>
      <c r="H10" s="11">
        <v>6325</v>
      </c>
      <c r="I10" s="11">
        <v>3601</v>
      </c>
      <c r="J10" s="11">
        <v>8401</v>
      </c>
      <c r="K10" s="11">
        <v>2947</v>
      </c>
      <c r="L10" s="11">
        <v>34547.83</v>
      </c>
      <c r="M10" s="11">
        <v>10657</v>
      </c>
      <c r="N10" s="11">
        <v>6971</v>
      </c>
      <c r="O10" s="11">
        <v>169137</v>
      </c>
      <c r="P10" s="11">
        <v>401327</v>
      </c>
      <c r="Q10" s="11">
        <v>134669</v>
      </c>
      <c r="R10" s="11">
        <v>49</v>
      </c>
      <c r="S10" s="11">
        <v>1030</v>
      </c>
      <c r="T10" s="11">
        <v>741</v>
      </c>
      <c r="U10" s="11">
        <v>4986</v>
      </c>
      <c r="V10" s="11">
        <v>104615.90879341075</v>
      </c>
      <c r="W10" s="11">
        <v>278028</v>
      </c>
      <c r="X10" s="11">
        <v>81289</v>
      </c>
      <c r="Y10" s="11">
        <v>218</v>
      </c>
      <c r="Z10" s="11">
        <v>19025</v>
      </c>
      <c r="AA10" s="11">
        <v>422</v>
      </c>
      <c r="AB10" s="11">
        <v>541</v>
      </c>
      <c r="AC10" s="11">
        <v>10261</v>
      </c>
      <c r="AD10" s="11">
        <v>12909</v>
      </c>
      <c r="AE10" s="11">
        <v>40498</v>
      </c>
      <c r="AF10" s="11">
        <v>145418</v>
      </c>
      <c r="AG10" s="11">
        <v>17943</v>
      </c>
      <c r="AH10" s="11">
        <v>65916</v>
      </c>
      <c r="AI10" s="11">
        <v>17920</v>
      </c>
      <c r="AJ10" s="92">
        <f t="shared" si="0"/>
        <v>1852015.7387934108</v>
      </c>
    </row>
    <row r="11" spans="1:36" x14ac:dyDescent="0.25">
      <c r="A11" s="3" t="s">
        <v>85</v>
      </c>
      <c r="B11" s="11">
        <v>13955</v>
      </c>
      <c r="C11" s="11">
        <v>77014</v>
      </c>
      <c r="D11" s="11">
        <v>412837</v>
      </c>
      <c r="E11" s="11">
        <v>91814</v>
      </c>
      <c r="F11" s="11">
        <v>335824</v>
      </c>
      <c r="G11" s="11">
        <v>101447</v>
      </c>
      <c r="H11" s="11">
        <v>68524</v>
      </c>
      <c r="I11" s="11">
        <v>62771</v>
      </c>
      <c r="J11" s="11">
        <v>139672</v>
      </c>
      <c r="K11" s="11">
        <v>6059</v>
      </c>
      <c r="L11" s="11">
        <v>30957.85</v>
      </c>
      <c r="M11" s="11">
        <v>38294</v>
      </c>
      <c r="N11" s="11">
        <v>83598</v>
      </c>
      <c r="O11" s="11">
        <v>250467</v>
      </c>
      <c r="P11" s="11">
        <v>158708</v>
      </c>
      <c r="Q11" s="11">
        <v>147953</v>
      </c>
      <c r="R11" s="11">
        <v>17423</v>
      </c>
      <c r="S11" s="11">
        <v>34682</v>
      </c>
      <c r="T11" s="11">
        <v>39328</v>
      </c>
      <c r="U11" s="11">
        <f>43723+35335</f>
        <v>79058</v>
      </c>
      <c r="V11" s="11">
        <v>141921</v>
      </c>
      <c r="W11" s="11">
        <v>873668</v>
      </c>
      <c r="X11" s="11">
        <v>387204</v>
      </c>
      <c r="Y11" s="11">
        <v>7883</v>
      </c>
      <c r="Z11" s="11">
        <v>102301</v>
      </c>
      <c r="AA11" s="11">
        <v>11920</v>
      </c>
      <c r="AB11" s="11">
        <v>154010</v>
      </c>
      <c r="AC11" s="11">
        <f>61088+30189</f>
        <v>91277</v>
      </c>
      <c r="AD11" s="11">
        <v>346711</v>
      </c>
      <c r="AE11" s="11">
        <v>34311</v>
      </c>
      <c r="AF11" s="11">
        <v>166593</v>
      </c>
      <c r="AG11" s="11">
        <v>280202</v>
      </c>
      <c r="AH11" s="11">
        <v>212127</v>
      </c>
      <c r="AI11" s="11">
        <v>278192</v>
      </c>
      <c r="AJ11" s="92">
        <f t="shared" si="0"/>
        <v>5278705.8499999996</v>
      </c>
    </row>
    <row r="12" spans="1:36" x14ac:dyDescent="0.25">
      <c r="A12" s="3" t="s">
        <v>86</v>
      </c>
      <c r="B12" s="11"/>
      <c r="C12" s="11">
        <v>11507</v>
      </c>
      <c r="D12" s="11">
        <v>15927</v>
      </c>
      <c r="E12" s="11">
        <v>13529</v>
      </c>
      <c r="F12" s="11">
        <v>31256</v>
      </c>
      <c r="G12" s="11"/>
      <c r="H12" s="11">
        <v>18993</v>
      </c>
      <c r="I12" s="11"/>
      <c r="J12" s="11">
        <v>1658</v>
      </c>
      <c r="K12" s="11"/>
      <c r="L12" s="11">
        <v>2731.62</v>
      </c>
      <c r="M12" s="11">
        <v>2078</v>
      </c>
      <c r="N12" s="11"/>
      <c r="O12" s="11">
        <v>111649</v>
      </c>
      <c r="P12" s="11">
        <v>100237</v>
      </c>
      <c r="Q12" s="11">
        <v>11817</v>
      </c>
      <c r="R12" s="11">
        <v>25349</v>
      </c>
      <c r="S12" s="11">
        <v>3151</v>
      </c>
      <c r="T12" s="11">
        <v>6972</v>
      </c>
      <c r="U12" s="11"/>
      <c r="V12" s="11">
        <v>511411</v>
      </c>
      <c r="W12" s="11">
        <v>1082855</v>
      </c>
      <c r="X12" s="11">
        <v>562139</v>
      </c>
      <c r="Y12" s="11">
        <v>333</v>
      </c>
      <c r="Z12" s="11">
        <v>11000</v>
      </c>
      <c r="AA12" s="11"/>
      <c r="AB12" s="11"/>
      <c r="AC12" s="11">
        <v>2844</v>
      </c>
      <c r="AD12" s="11">
        <v>861</v>
      </c>
      <c r="AE12" s="11">
        <v>323</v>
      </c>
      <c r="AF12" s="11">
        <v>27198</v>
      </c>
      <c r="AG12" s="11">
        <v>42132</v>
      </c>
      <c r="AH12" s="11">
        <v>465400</v>
      </c>
      <c r="AI12" s="11">
        <v>4412</v>
      </c>
      <c r="AJ12" s="92">
        <f t="shared" si="0"/>
        <v>3067762.62</v>
      </c>
    </row>
    <row r="13" spans="1:36" x14ac:dyDescent="0.25">
      <c r="A13" s="3" t="s">
        <v>87</v>
      </c>
      <c r="B13" s="11">
        <v>2129</v>
      </c>
      <c r="C13" s="11">
        <v>23917</v>
      </c>
      <c r="D13" s="11">
        <v>8382</v>
      </c>
      <c r="E13" s="11">
        <v>15295</v>
      </c>
      <c r="F13" s="11">
        <v>92420</v>
      </c>
      <c r="G13" s="11">
        <v>8551</v>
      </c>
      <c r="H13" s="11">
        <v>8883</v>
      </c>
      <c r="I13" s="11">
        <v>4164</v>
      </c>
      <c r="J13" s="11">
        <v>9136</v>
      </c>
      <c r="K13" s="11">
        <v>1856</v>
      </c>
      <c r="L13" s="11">
        <v>17166.55</v>
      </c>
      <c r="M13" s="11">
        <v>26978</v>
      </c>
      <c r="N13" s="11">
        <v>20237</v>
      </c>
      <c r="O13" s="11">
        <v>40857</v>
      </c>
      <c r="P13" s="11">
        <v>411092</v>
      </c>
      <c r="Q13" s="11"/>
      <c r="R13" s="11">
        <v>929</v>
      </c>
      <c r="S13" s="11">
        <v>13080</v>
      </c>
      <c r="T13" s="11">
        <v>974</v>
      </c>
      <c r="U13" s="11">
        <v>17933</v>
      </c>
      <c r="V13" s="11">
        <v>15568</v>
      </c>
      <c r="W13" s="11">
        <v>21471</v>
      </c>
      <c r="X13" s="11">
        <v>14365</v>
      </c>
      <c r="Y13" s="11">
        <v>362</v>
      </c>
      <c r="Z13" s="11">
        <v>37736</v>
      </c>
      <c r="AA13" s="11">
        <v>3221</v>
      </c>
      <c r="AB13" s="11">
        <v>23264</v>
      </c>
      <c r="AC13" s="11">
        <v>16924</v>
      </c>
      <c r="AD13" s="11">
        <v>45339</v>
      </c>
      <c r="AE13" s="11">
        <v>26845</v>
      </c>
      <c r="AF13" s="11">
        <v>77607</v>
      </c>
      <c r="AG13" s="11">
        <v>46141</v>
      </c>
      <c r="AH13" s="11">
        <v>18090</v>
      </c>
      <c r="AI13" s="11">
        <v>6684</v>
      </c>
      <c r="AJ13" s="92">
        <f t="shared" si="0"/>
        <v>1077596.55</v>
      </c>
    </row>
    <row r="14" spans="1:36" x14ac:dyDescent="0.25">
      <c r="A14" s="3" t="s">
        <v>88</v>
      </c>
      <c r="B14" s="11"/>
      <c r="C14" s="11"/>
      <c r="D14" s="11">
        <v>5653</v>
      </c>
      <c r="E14" s="11"/>
      <c r="F14" s="11"/>
      <c r="G14" s="11"/>
      <c r="H14" s="11">
        <v>12118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4683</v>
      </c>
      <c r="U14" s="11"/>
      <c r="V14" s="11">
        <v>89918.549999999988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>
        <v>77935</v>
      </c>
      <c r="AI14" s="11"/>
      <c r="AJ14" s="92">
        <f t="shared" si="0"/>
        <v>190307.55</v>
      </c>
    </row>
    <row r="15" spans="1:36" x14ac:dyDescent="0.25">
      <c r="A15" s="3" t="s">
        <v>89</v>
      </c>
      <c r="B15" s="11">
        <f>B16-B14-B13-B12-B11-B10-B9-B8-B7-B6-B5-B4</f>
        <v>0</v>
      </c>
      <c r="C15" s="11">
        <f t="shared" ref="C15:AI15" si="1">C16-C14-C13-C12-C11-C10-C9-C8-C7-C6-C5-C4</f>
        <v>0</v>
      </c>
      <c r="D15" s="11">
        <f t="shared" si="1"/>
        <v>1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44058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-2.2737367544323206E-10</v>
      </c>
      <c r="M15" s="11">
        <f t="shared" si="1"/>
        <v>1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32664</v>
      </c>
      <c r="R15" s="11">
        <f t="shared" si="1"/>
        <v>0</v>
      </c>
      <c r="S15" s="11">
        <f t="shared" si="1"/>
        <v>15703</v>
      </c>
      <c r="T15" s="11">
        <f t="shared" si="1"/>
        <v>0</v>
      </c>
      <c r="U15" s="11">
        <f t="shared" si="1"/>
        <v>0</v>
      </c>
      <c r="V15" s="11">
        <f t="shared" si="1"/>
        <v>665416.54120658943</v>
      </c>
      <c r="W15" s="11">
        <f t="shared" si="1"/>
        <v>177226</v>
      </c>
      <c r="X15" s="11">
        <f t="shared" si="1"/>
        <v>82609</v>
      </c>
      <c r="Y15" s="11">
        <f t="shared" si="1"/>
        <v>2</v>
      </c>
      <c r="Z15" s="11">
        <f t="shared" si="1"/>
        <v>32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129</v>
      </c>
      <c r="AG15" s="11">
        <f t="shared" si="1"/>
        <v>55916</v>
      </c>
      <c r="AH15" s="11">
        <f t="shared" si="1"/>
        <v>70219</v>
      </c>
      <c r="AI15" s="11">
        <f t="shared" si="1"/>
        <v>0</v>
      </c>
      <c r="AJ15" s="92">
        <f t="shared" si="0"/>
        <v>1143976.5412065892</v>
      </c>
    </row>
    <row r="16" spans="1:36" s="9" customFormat="1" x14ac:dyDescent="0.25">
      <c r="A16" s="4" t="s">
        <v>56</v>
      </c>
      <c r="B16" s="12">
        <v>86855</v>
      </c>
      <c r="C16" s="12">
        <v>622001</v>
      </c>
      <c r="D16" s="12">
        <v>2714585</v>
      </c>
      <c r="E16" s="12">
        <v>298900</v>
      </c>
      <c r="F16" s="12">
        <v>3988029</v>
      </c>
      <c r="G16" s="12">
        <v>174477</v>
      </c>
      <c r="H16" s="12">
        <v>698942</v>
      </c>
      <c r="I16" s="12">
        <v>104015</v>
      </c>
      <c r="J16" s="12">
        <v>506471</v>
      </c>
      <c r="K16" s="12">
        <v>86500</v>
      </c>
      <c r="L16" s="12">
        <v>1189992.81</v>
      </c>
      <c r="M16" s="12">
        <v>151655</v>
      </c>
      <c r="N16" s="12">
        <v>151378</v>
      </c>
      <c r="O16" s="12">
        <v>2076113</v>
      </c>
      <c r="P16" s="12">
        <v>4461912</v>
      </c>
      <c r="Q16" s="12">
        <v>563095</v>
      </c>
      <c r="R16" s="12">
        <v>74273</v>
      </c>
      <c r="S16" s="12">
        <v>196251</v>
      </c>
      <c r="T16" s="12">
        <v>266718</v>
      </c>
      <c r="U16" s="12">
        <v>306057</v>
      </c>
      <c r="V16" s="12">
        <v>2674181</v>
      </c>
      <c r="W16" s="12">
        <v>4456810</v>
      </c>
      <c r="X16" s="12">
        <v>2125806</v>
      </c>
      <c r="Y16" s="12">
        <v>18921</v>
      </c>
      <c r="Z16" s="12">
        <v>308825</v>
      </c>
      <c r="AA16" s="12">
        <v>380769</v>
      </c>
      <c r="AB16" s="12">
        <v>515593</v>
      </c>
      <c r="AC16" s="12">
        <v>259421</v>
      </c>
      <c r="AD16" s="12">
        <v>865295</v>
      </c>
      <c r="AE16" s="12">
        <v>507239</v>
      </c>
      <c r="AF16" s="12">
        <v>807229</v>
      </c>
      <c r="AG16" s="12">
        <v>1914916</v>
      </c>
      <c r="AH16" s="12">
        <v>1508616</v>
      </c>
      <c r="AI16" s="12">
        <v>348131</v>
      </c>
      <c r="AJ16" s="91">
        <f t="shared" si="0"/>
        <v>35409971.810000002</v>
      </c>
    </row>
    <row r="17" spans="1:36" x14ac:dyDescent="0.25">
      <c r="A17" s="3" t="s">
        <v>90</v>
      </c>
      <c r="B17" s="11"/>
      <c r="C17" s="11"/>
      <c r="D17" s="11"/>
      <c r="E17" s="11">
        <v>131635</v>
      </c>
      <c r="F17" s="11">
        <v>308535</v>
      </c>
      <c r="G17" s="11">
        <v>16829</v>
      </c>
      <c r="H17" s="11">
        <v>22976</v>
      </c>
      <c r="I17" s="11">
        <v>54604</v>
      </c>
      <c r="J17" s="11">
        <v>22116</v>
      </c>
      <c r="K17" s="11">
        <v>36450</v>
      </c>
      <c r="L17" s="11">
        <v>1542650.24</v>
      </c>
      <c r="M17" s="11">
        <v>11129</v>
      </c>
      <c r="N17" s="11">
        <v>82302</v>
      </c>
      <c r="O17" s="11">
        <v>103802</v>
      </c>
      <c r="P17" s="11">
        <v>294176</v>
      </c>
      <c r="Q17" s="11">
        <v>81760</v>
      </c>
      <c r="R17" s="11">
        <v>1517</v>
      </c>
      <c r="S17" s="11">
        <v>44522</v>
      </c>
      <c r="T17" s="11">
        <v>14533</v>
      </c>
      <c r="U17" s="11">
        <v>60268</v>
      </c>
      <c r="V17" s="11">
        <v>860201</v>
      </c>
      <c r="W17" s="11">
        <v>416009</v>
      </c>
      <c r="X17" s="11">
        <v>3663180</v>
      </c>
      <c r="Y17" s="11">
        <v>11555</v>
      </c>
      <c r="Z17" s="11">
        <v>32198</v>
      </c>
      <c r="AA17" s="11">
        <v>27363</v>
      </c>
      <c r="AB17" s="11">
        <v>15006</v>
      </c>
      <c r="AC17" s="11">
        <v>13269</v>
      </c>
      <c r="AD17" s="11">
        <v>111240</v>
      </c>
      <c r="AE17" s="11"/>
      <c r="AF17" s="11">
        <v>147932</v>
      </c>
      <c r="AG17" s="11">
        <v>14052</v>
      </c>
      <c r="AH17" s="11">
        <v>1000700</v>
      </c>
      <c r="AI17" s="11">
        <v>23146</v>
      </c>
      <c r="AJ17" s="92">
        <f t="shared" si="0"/>
        <v>9165655.2400000002</v>
      </c>
    </row>
    <row r="18" spans="1:36" ht="30" x14ac:dyDescent="0.25">
      <c r="A18" s="3" t="s">
        <v>91</v>
      </c>
      <c r="B18" s="11"/>
      <c r="C18" s="11">
        <v>24011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92">
        <f t="shared" si="0"/>
        <v>24011</v>
      </c>
    </row>
    <row r="19" spans="1:36" s="9" customFormat="1" x14ac:dyDescent="0.25">
      <c r="A19" s="4" t="s">
        <v>92</v>
      </c>
      <c r="B19" s="12">
        <f>B16+B17+B18</f>
        <v>86855</v>
      </c>
      <c r="C19" s="12">
        <f t="shared" ref="C19:AI19" si="2">C16+C17+C18</f>
        <v>646012</v>
      </c>
      <c r="D19" s="12">
        <f t="shared" si="2"/>
        <v>2714585</v>
      </c>
      <c r="E19" s="12">
        <f t="shared" si="2"/>
        <v>430535</v>
      </c>
      <c r="F19" s="12">
        <f t="shared" si="2"/>
        <v>4296564</v>
      </c>
      <c r="G19" s="12">
        <f t="shared" si="2"/>
        <v>191306</v>
      </c>
      <c r="H19" s="12">
        <f t="shared" si="2"/>
        <v>721918</v>
      </c>
      <c r="I19" s="12">
        <f t="shared" si="2"/>
        <v>158619</v>
      </c>
      <c r="J19" s="12">
        <f t="shared" si="2"/>
        <v>528587</v>
      </c>
      <c r="K19" s="12">
        <f t="shared" si="2"/>
        <v>122950</v>
      </c>
      <c r="L19" s="12">
        <f t="shared" si="2"/>
        <v>2732643.05</v>
      </c>
      <c r="M19" s="12">
        <f t="shared" si="2"/>
        <v>162784</v>
      </c>
      <c r="N19" s="12">
        <f t="shared" si="2"/>
        <v>233680</v>
      </c>
      <c r="O19" s="12">
        <f t="shared" si="2"/>
        <v>2179915</v>
      </c>
      <c r="P19" s="12">
        <f t="shared" si="2"/>
        <v>4756088</v>
      </c>
      <c r="Q19" s="12">
        <f t="shared" si="2"/>
        <v>644855</v>
      </c>
      <c r="R19" s="12">
        <f t="shared" si="2"/>
        <v>75790</v>
      </c>
      <c r="S19" s="12">
        <f t="shared" si="2"/>
        <v>240773</v>
      </c>
      <c r="T19" s="12">
        <f t="shared" si="2"/>
        <v>281251</v>
      </c>
      <c r="U19" s="12">
        <f t="shared" si="2"/>
        <v>366325</v>
      </c>
      <c r="V19" s="12">
        <f t="shared" si="2"/>
        <v>3534382</v>
      </c>
      <c r="W19" s="12">
        <f t="shared" si="2"/>
        <v>4872819</v>
      </c>
      <c r="X19" s="12">
        <f t="shared" si="2"/>
        <v>5788986</v>
      </c>
      <c r="Y19" s="12">
        <f t="shared" si="2"/>
        <v>30476</v>
      </c>
      <c r="Z19" s="12">
        <f t="shared" si="2"/>
        <v>341023</v>
      </c>
      <c r="AA19" s="12">
        <f t="shared" si="2"/>
        <v>408132</v>
      </c>
      <c r="AB19" s="12">
        <f t="shared" si="2"/>
        <v>530599</v>
      </c>
      <c r="AC19" s="12">
        <f t="shared" si="2"/>
        <v>272690</v>
      </c>
      <c r="AD19" s="12">
        <f t="shared" si="2"/>
        <v>976535</v>
      </c>
      <c r="AE19" s="12">
        <f t="shared" si="2"/>
        <v>507239</v>
      </c>
      <c r="AF19" s="12">
        <f t="shared" si="2"/>
        <v>955161</v>
      </c>
      <c r="AG19" s="12">
        <f t="shared" si="2"/>
        <v>1928968</v>
      </c>
      <c r="AH19" s="12">
        <f t="shared" si="2"/>
        <v>2509316</v>
      </c>
      <c r="AI19" s="12">
        <f t="shared" si="2"/>
        <v>371277</v>
      </c>
      <c r="AJ19" s="91">
        <f t="shared" si="0"/>
        <v>44599638.049999997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8" customWidth="1"/>
    <col min="2" max="35" width="16" style="8" customWidth="1"/>
    <col min="36" max="36" width="16" style="69" customWidth="1"/>
    <col min="37" max="16384" width="9.140625" style="8"/>
  </cols>
  <sheetData>
    <row r="1" spans="1:36" ht="18.75" x14ac:dyDescent="0.3">
      <c r="A1" s="18" t="s">
        <v>303</v>
      </c>
    </row>
    <row r="2" spans="1:36" x14ac:dyDescent="0.25">
      <c r="A2" s="7" t="s">
        <v>48</v>
      </c>
    </row>
    <row r="3" spans="1:36" x14ac:dyDescent="0.25">
      <c r="A3" s="1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59" t="s">
        <v>7</v>
      </c>
      <c r="I3" s="59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59" t="s">
        <v>16</v>
      </c>
      <c r="R3" s="59" t="s">
        <v>17</v>
      </c>
      <c r="S3" s="59" t="s">
        <v>18</v>
      </c>
      <c r="T3" s="59" t="s">
        <v>19</v>
      </c>
      <c r="U3" s="59" t="s">
        <v>20</v>
      </c>
      <c r="V3" s="59" t="s">
        <v>21</v>
      </c>
      <c r="W3" s="59" t="s">
        <v>22</v>
      </c>
      <c r="X3" s="59" t="s">
        <v>23</v>
      </c>
      <c r="Y3" s="59" t="s">
        <v>24</v>
      </c>
      <c r="Z3" s="59" t="s">
        <v>25</v>
      </c>
      <c r="AA3" s="59" t="s">
        <v>26</v>
      </c>
      <c r="AB3" s="59" t="s">
        <v>27</v>
      </c>
      <c r="AC3" s="59" t="s">
        <v>28</v>
      </c>
      <c r="AD3" s="59" t="s">
        <v>29</v>
      </c>
      <c r="AE3" s="59" t="s">
        <v>30</v>
      </c>
      <c r="AF3" s="59" t="s">
        <v>31</v>
      </c>
      <c r="AG3" s="59" t="s">
        <v>32</v>
      </c>
      <c r="AH3" s="60" t="s">
        <v>33</v>
      </c>
      <c r="AI3" s="59" t="s">
        <v>34</v>
      </c>
      <c r="AJ3" s="94" t="s">
        <v>35</v>
      </c>
    </row>
    <row r="4" spans="1:36" ht="15" customHeight="1" x14ac:dyDescent="0.25">
      <c r="A4" s="3" t="s">
        <v>93</v>
      </c>
      <c r="B4" s="11">
        <v>374</v>
      </c>
      <c r="C4" s="11">
        <v>680</v>
      </c>
      <c r="D4" s="11">
        <v>53</v>
      </c>
      <c r="E4" s="11">
        <v>13172</v>
      </c>
      <c r="F4" s="11">
        <v>17894</v>
      </c>
      <c r="G4" s="11">
        <v>57233</v>
      </c>
      <c r="H4" s="11">
        <v>139803</v>
      </c>
      <c r="I4" s="11">
        <v>7505</v>
      </c>
      <c r="J4" s="11">
        <v>4848</v>
      </c>
      <c r="K4" s="11">
        <v>673</v>
      </c>
      <c r="L4" s="11">
        <v>372.16</v>
      </c>
      <c r="M4" s="11">
        <v>55390</v>
      </c>
      <c r="N4" s="11">
        <v>175220</v>
      </c>
      <c r="O4" s="11">
        <v>467215</v>
      </c>
      <c r="P4" s="11">
        <v>357302</v>
      </c>
      <c r="Q4" s="11">
        <v>16936</v>
      </c>
      <c r="R4" s="11">
        <v>15912</v>
      </c>
      <c r="S4" s="11">
        <v>106687</v>
      </c>
      <c r="T4" s="11">
        <v>11735</v>
      </c>
      <c r="U4" s="11">
        <v>15442</v>
      </c>
      <c r="V4" s="11">
        <v>224826</v>
      </c>
      <c r="W4" s="11">
        <v>20408</v>
      </c>
      <c r="X4" s="11">
        <v>224511</v>
      </c>
      <c r="Y4" s="11">
        <v>27</v>
      </c>
      <c r="Z4" s="11">
        <v>9796</v>
      </c>
      <c r="AA4" s="11">
        <v>157</v>
      </c>
      <c r="AB4" s="11">
        <v>27876</v>
      </c>
      <c r="AC4" s="11">
        <v>66305</v>
      </c>
      <c r="AD4" s="11">
        <v>71008</v>
      </c>
      <c r="AE4" s="11">
        <v>46914</v>
      </c>
      <c r="AF4" s="11">
        <v>519032</v>
      </c>
      <c r="AG4" s="11">
        <v>158180</v>
      </c>
      <c r="AH4" s="11">
        <v>280991</v>
      </c>
      <c r="AI4" s="11">
        <v>3257</v>
      </c>
      <c r="AJ4" s="92">
        <f>SUM(B4:AI4)</f>
        <v>3117734.16</v>
      </c>
    </row>
    <row r="5" spans="1:36" x14ac:dyDescent="0.25">
      <c r="A5" s="3" t="s">
        <v>94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92">
        <f t="shared" ref="AJ5:AJ16" si="0">SUM(B5:AI5)</f>
        <v>0</v>
      </c>
    </row>
    <row r="6" spans="1:36" x14ac:dyDescent="0.25">
      <c r="A6" s="3" t="s">
        <v>95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92">
        <f t="shared" si="0"/>
        <v>0</v>
      </c>
    </row>
    <row r="7" spans="1:36" ht="15" customHeight="1" x14ac:dyDescent="0.25">
      <c r="A7" s="3" t="s">
        <v>96</v>
      </c>
      <c r="B7" s="11"/>
      <c r="C7" s="11">
        <v>4019</v>
      </c>
      <c r="D7" s="11">
        <v>81244080</v>
      </c>
      <c r="E7" s="11">
        <v>3886400</v>
      </c>
      <c r="F7" s="11">
        <v>531146</v>
      </c>
      <c r="G7" s="11">
        <v>280545</v>
      </c>
      <c r="H7" s="11"/>
      <c r="I7" s="11">
        <v>16000</v>
      </c>
      <c r="J7" s="11">
        <v>1037</v>
      </c>
      <c r="K7" s="11"/>
      <c r="L7" s="11">
        <f>4300000+6028950</f>
        <v>10328950</v>
      </c>
      <c r="M7" s="11"/>
      <c r="N7" s="11"/>
      <c r="O7" s="11">
        <v>205900</v>
      </c>
      <c r="P7" s="11">
        <v>1590</v>
      </c>
      <c r="Q7" s="11"/>
      <c r="R7" s="11"/>
      <c r="S7" s="11">
        <v>94000</v>
      </c>
      <c r="T7" s="11"/>
      <c r="U7" s="11">
        <v>57500</v>
      </c>
      <c r="V7" s="11">
        <v>1694604</v>
      </c>
      <c r="W7" s="11">
        <v>15916201</v>
      </c>
      <c r="X7" s="11">
        <v>13040624</v>
      </c>
      <c r="Y7" s="11"/>
      <c r="Z7" s="11">
        <v>13912</v>
      </c>
      <c r="AA7" s="11"/>
      <c r="AB7" s="11">
        <v>6764</v>
      </c>
      <c r="AC7" s="11"/>
      <c r="AD7" s="11"/>
      <c r="AE7" s="11"/>
      <c r="AF7" s="11">
        <v>229700</v>
      </c>
      <c r="AG7" s="11"/>
      <c r="AH7" s="11">
        <v>2640492</v>
      </c>
      <c r="AI7" s="11"/>
      <c r="AJ7" s="92">
        <f t="shared" si="0"/>
        <v>130193464</v>
      </c>
    </row>
    <row r="8" spans="1:36" x14ac:dyDescent="0.25">
      <c r="A8" s="3" t="s">
        <v>97</v>
      </c>
      <c r="B8" s="11"/>
      <c r="C8" s="11"/>
      <c r="D8" s="11"/>
      <c r="E8" s="11">
        <v>552500</v>
      </c>
      <c r="F8" s="11"/>
      <c r="G8" s="11"/>
      <c r="H8" s="11"/>
      <c r="I8" s="11">
        <v>2500</v>
      </c>
      <c r="J8" s="11"/>
      <c r="K8" s="11"/>
      <c r="L8" s="11"/>
      <c r="M8" s="11">
        <v>1885</v>
      </c>
      <c r="N8" s="11"/>
      <c r="O8" s="11">
        <v>17053</v>
      </c>
      <c r="P8" s="11"/>
      <c r="Q8" s="11"/>
      <c r="R8" s="11">
        <v>10000</v>
      </c>
      <c r="S8" s="11"/>
      <c r="T8" s="11"/>
      <c r="U8" s="11"/>
      <c r="V8" s="11"/>
      <c r="W8" s="11">
        <v>52018197</v>
      </c>
      <c r="X8" s="11"/>
      <c r="Y8" s="11"/>
      <c r="Z8" s="11"/>
      <c r="AA8" s="11"/>
      <c r="AB8" s="11">
        <v>4524</v>
      </c>
      <c r="AC8" s="11"/>
      <c r="AD8" s="11"/>
      <c r="AE8" s="11"/>
      <c r="AF8" s="11">
        <v>200000</v>
      </c>
      <c r="AG8" s="11"/>
      <c r="AH8" s="11"/>
      <c r="AI8" s="11"/>
      <c r="AJ8" s="92">
        <f t="shared" si="0"/>
        <v>52806659</v>
      </c>
    </row>
    <row r="9" spans="1:36" x14ac:dyDescent="0.25">
      <c r="A9" s="3" t="s">
        <v>98</v>
      </c>
      <c r="B9" s="11">
        <v>27879</v>
      </c>
      <c r="C9" s="11">
        <v>176762</v>
      </c>
      <c r="D9" s="11">
        <v>1062731</v>
      </c>
      <c r="E9" s="11">
        <v>533420</v>
      </c>
      <c r="F9" s="11">
        <v>2676551</v>
      </c>
      <c r="G9" s="11">
        <v>179991</v>
      </c>
      <c r="H9" s="11">
        <v>444220</v>
      </c>
      <c r="I9" s="11">
        <v>123242</v>
      </c>
      <c r="J9" s="11">
        <v>39932</v>
      </c>
      <c r="K9" s="11">
        <v>13729</v>
      </c>
      <c r="L9" s="11">
        <v>56545.24</v>
      </c>
      <c r="M9" s="11">
        <v>237324</v>
      </c>
      <c r="N9" s="11">
        <v>464798</v>
      </c>
      <c r="O9" s="11">
        <v>1716937</v>
      </c>
      <c r="P9" s="11">
        <v>2195777</v>
      </c>
      <c r="Q9" s="11">
        <v>1807655</v>
      </c>
      <c r="R9" s="11">
        <v>88771</v>
      </c>
      <c r="S9" s="11">
        <v>164274</v>
      </c>
      <c r="T9" s="11">
        <v>197110</v>
      </c>
      <c r="U9" s="11">
        <v>106894</v>
      </c>
      <c r="V9" s="11">
        <v>4923150</v>
      </c>
      <c r="W9" s="11">
        <v>10847090</v>
      </c>
      <c r="X9" s="11">
        <v>9532035</v>
      </c>
      <c r="Y9" s="11">
        <v>19852</v>
      </c>
      <c r="Z9" s="11">
        <v>1222193</v>
      </c>
      <c r="AA9" s="11">
        <v>16357</v>
      </c>
      <c r="AB9" s="11">
        <v>419062</v>
      </c>
      <c r="AC9" s="11">
        <v>586039</v>
      </c>
      <c r="AD9" s="11">
        <v>651978</v>
      </c>
      <c r="AE9" s="11">
        <v>313824</v>
      </c>
      <c r="AF9" s="11">
        <v>1401108</v>
      </c>
      <c r="AG9" s="11">
        <v>1740248</v>
      </c>
      <c r="AH9" s="11">
        <v>10504560</v>
      </c>
      <c r="AI9" s="11">
        <v>855116</v>
      </c>
      <c r="AJ9" s="92">
        <f t="shared" si="0"/>
        <v>55347154.240000002</v>
      </c>
    </row>
    <row r="10" spans="1:36" x14ac:dyDescent="0.25">
      <c r="A10" s="3" t="s">
        <v>99</v>
      </c>
      <c r="B10" s="11"/>
      <c r="C10" s="11"/>
      <c r="D10" s="11"/>
      <c r="E10" s="11"/>
      <c r="F10" s="11">
        <v>325651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29625</v>
      </c>
      <c r="U10" s="11"/>
      <c r="V10" s="11"/>
      <c r="W10" s="11"/>
      <c r="X10" s="11"/>
      <c r="Y10" s="11"/>
      <c r="Z10" s="11">
        <v>236599</v>
      </c>
      <c r="AA10" s="11"/>
      <c r="AB10" s="11"/>
      <c r="AC10" s="11"/>
      <c r="AD10" s="11"/>
      <c r="AE10" s="11">
        <v>153926</v>
      </c>
      <c r="AF10" s="11"/>
      <c r="AG10" s="11"/>
      <c r="AH10" s="11"/>
      <c r="AI10" s="11"/>
      <c r="AJ10" s="92">
        <f t="shared" si="0"/>
        <v>745801</v>
      </c>
    </row>
    <row r="11" spans="1:36" x14ac:dyDescent="0.25">
      <c r="A11" s="3" t="s">
        <v>100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>
        <v>100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92">
        <f t="shared" si="0"/>
        <v>100</v>
      </c>
    </row>
    <row r="12" spans="1:36" x14ac:dyDescent="0.25">
      <c r="A12" s="3" t="s">
        <v>101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92">
        <f t="shared" si="0"/>
        <v>0</v>
      </c>
    </row>
    <row r="13" spans="1:36" x14ac:dyDescent="0.25">
      <c r="A13" s="3" t="s">
        <v>102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92">
        <f t="shared" si="0"/>
        <v>0</v>
      </c>
    </row>
    <row r="14" spans="1:36" x14ac:dyDescent="0.25">
      <c r="A14" s="3" t="s">
        <v>103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10846420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92">
        <f t="shared" si="0"/>
        <v>10846420</v>
      </c>
    </row>
    <row r="15" spans="1:36" x14ac:dyDescent="0.25">
      <c r="A15" s="3" t="s">
        <v>46</v>
      </c>
      <c r="B15" s="11">
        <f>B16-B14-B13-B12-B11-B10-B9-B8-B7-B6-B5-B4</f>
        <v>0</v>
      </c>
      <c r="C15" s="11">
        <f t="shared" ref="C15:AI15" si="1">C16-C14-C13-C12-C11-C10-C9-C8-C7-C6-C5-C4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6037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1.4898660083417781E-10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0</v>
      </c>
      <c r="V15" s="11">
        <f t="shared" si="1"/>
        <v>16145</v>
      </c>
      <c r="W15" s="11">
        <f t="shared" si="1"/>
        <v>0</v>
      </c>
      <c r="X15" s="11">
        <f t="shared" si="1"/>
        <v>0</v>
      </c>
      <c r="Y15" s="11">
        <f t="shared" si="1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-1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92">
        <f t="shared" si="0"/>
        <v>22181.000000000149</v>
      </c>
    </row>
    <row r="16" spans="1:36" s="9" customFormat="1" x14ac:dyDescent="0.25">
      <c r="A16" s="4" t="s">
        <v>56</v>
      </c>
      <c r="B16" s="12">
        <v>28253</v>
      </c>
      <c r="C16" s="12">
        <v>181461</v>
      </c>
      <c r="D16" s="12">
        <v>82306864</v>
      </c>
      <c r="E16" s="12">
        <v>4985492</v>
      </c>
      <c r="F16" s="12">
        <v>3551242</v>
      </c>
      <c r="G16" s="12">
        <v>517769</v>
      </c>
      <c r="H16" s="12">
        <v>590060</v>
      </c>
      <c r="I16" s="12">
        <v>149247</v>
      </c>
      <c r="J16" s="12">
        <v>45817</v>
      </c>
      <c r="K16" s="12">
        <v>14402</v>
      </c>
      <c r="L16" s="12">
        <v>10385967.4</v>
      </c>
      <c r="M16" s="12">
        <v>294599</v>
      </c>
      <c r="N16" s="12">
        <v>640018</v>
      </c>
      <c r="O16" s="12">
        <v>2407105</v>
      </c>
      <c r="P16" s="12">
        <v>2554669</v>
      </c>
      <c r="Q16" s="12">
        <v>1824591</v>
      </c>
      <c r="R16" s="12">
        <v>114683</v>
      </c>
      <c r="S16" s="12">
        <v>364961</v>
      </c>
      <c r="T16" s="12">
        <v>238470</v>
      </c>
      <c r="U16" s="12">
        <v>179836</v>
      </c>
      <c r="V16" s="12">
        <v>6858725</v>
      </c>
      <c r="W16" s="12">
        <v>89648316</v>
      </c>
      <c r="X16" s="12">
        <v>22797170</v>
      </c>
      <c r="Y16" s="12">
        <v>19879</v>
      </c>
      <c r="Z16" s="12">
        <v>1482500</v>
      </c>
      <c r="AA16" s="12">
        <v>16514</v>
      </c>
      <c r="AB16" s="12">
        <v>458226</v>
      </c>
      <c r="AC16" s="12">
        <v>652344</v>
      </c>
      <c r="AD16" s="12">
        <v>722986</v>
      </c>
      <c r="AE16" s="12">
        <v>514663</v>
      </c>
      <c r="AF16" s="12">
        <v>2349840</v>
      </c>
      <c r="AG16" s="12">
        <v>1898428</v>
      </c>
      <c r="AH16" s="12">
        <v>13426043</v>
      </c>
      <c r="AI16" s="12">
        <v>858373</v>
      </c>
      <c r="AJ16" s="91">
        <f t="shared" si="0"/>
        <v>253079513.40000001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304</v>
      </c>
    </row>
    <row r="2" spans="1:36" x14ac:dyDescent="0.25">
      <c r="A2" s="19" t="s">
        <v>48</v>
      </c>
    </row>
    <row r="3" spans="1:36" x14ac:dyDescent="0.25">
      <c r="A3" s="1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59" t="s">
        <v>7</v>
      </c>
      <c r="I3" s="59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59" t="s">
        <v>16</v>
      </c>
      <c r="R3" s="59" t="s">
        <v>17</v>
      </c>
      <c r="S3" s="59" t="s">
        <v>18</v>
      </c>
      <c r="T3" s="59" t="s">
        <v>19</v>
      </c>
      <c r="U3" s="59" t="s">
        <v>20</v>
      </c>
      <c r="V3" s="59" t="s">
        <v>21</v>
      </c>
      <c r="W3" s="59" t="s">
        <v>22</v>
      </c>
      <c r="X3" s="59" t="s">
        <v>23</v>
      </c>
      <c r="Y3" s="59" t="s">
        <v>24</v>
      </c>
      <c r="Z3" s="59" t="s">
        <v>25</v>
      </c>
      <c r="AA3" s="59" t="s">
        <v>26</v>
      </c>
      <c r="AB3" s="59" t="s">
        <v>27</v>
      </c>
      <c r="AC3" s="59" t="s">
        <v>28</v>
      </c>
      <c r="AD3" s="59" t="s">
        <v>29</v>
      </c>
      <c r="AE3" s="59" t="s">
        <v>30</v>
      </c>
      <c r="AF3" s="59" t="s">
        <v>31</v>
      </c>
      <c r="AG3" s="59" t="s">
        <v>32</v>
      </c>
      <c r="AH3" s="60" t="s">
        <v>33</v>
      </c>
      <c r="AI3" s="59" t="s">
        <v>34</v>
      </c>
      <c r="AJ3" s="94" t="s">
        <v>35</v>
      </c>
    </row>
    <row r="4" spans="1:36" x14ac:dyDescent="0.25">
      <c r="A4" s="3" t="s">
        <v>104</v>
      </c>
      <c r="B4" s="11">
        <v>8841</v>
      </c>
      <c r="C4" s="11">
        <v>91680</v>
      </c>
      <c r="D4" s="11"/>
      <c r="E4" s="11">
        <v>144402</v>
      </c>
      <c r="F4" s="11">
        <v>1534698</v>
      </c>
      <c r="G4" s="11">
        <v>187982</v>
      </c>
      <c r="H4" s="11">
        <v>270072</v>
      </c>
      <c r="I4" s="11">
        <v>39824</v>
      </c>
      <c r="J4" s="11">
        <v>72144</v>
      </c>
      <c r="K4" s="11">
        <v>2589</v>
      </c>
      <c r="L4" s="11"/>
      <c r="M4" s="11">
        <v>91809</v>
      </c>
      <c r="N4" s="11">
        <v>126830</v>
      </c>
      <c r="O4" s="11">
        <v>307301</v>
      </c>
      <c r="P4" s="11">
        <v>121257</v>
      </c>
      <c r="Q4" s="11">
        <v>519820</v>
      </c>
      <c r="R4" s="11">
        <v>26743</v>
      </c>
      <c r="S4" s="11">
        <v>266504</v>
      </c>
      <c r="T4" s="11">
        <v>24860</v>
      </c>
      <c r="U4" s="11">
        <v>88775</v>
      </c>
      <c r="V4" s="11">
        <v>1396539</v>
      </c>
      <c r="W4" s="11">
        <v>1855511</v>
      </c>
      <c r="X4" s="11">
        <v>949224</v>
      </c>
      <c r="Y4" s="11">
        <v>14515</v>
      </c>
      <c r="Z4" s="11">
        <v>288978</v>
      </c>
      <c r="AA4" s="11">
        <v>99</v>
      </c>
      <c r="AB4" s="11">
        <v>152630</v>
      </c>
      <c r="AC4" s="11">
        <v>344761</v>
      </c>
      <c r="AD4" s="11">
        <v>391204</v>
      </c>
      <c r="AE4" s="11">
        <v>120806.64</v>
      </c>
      <c r="AF4" s="11">
        <v>229808</v>
      </c>
      <c r="AG4" s="11">
        <v>1025436</v>
      </c>
      <c r="AH4" s="11">
        <v>1120619</v>
      </c>
      <c r="AI4" s="11">
        <v>106475</v>
      </c>
      <c r="AJ4" s="92">
        <f>SUM(B4:AI4)</f>
        <v>11922736.640000001</v>
      </c>
    </row>
    <row r="5" spans="1:36" ht="15" customHeight="1" x14ac:dyDescent="0.25">
      <c r="A5" s="3" t="s">
        <v>105</v>
      </c>
      <c r="B5" s="11">
        <v>581241</v>
      </c>
      <c r="C5" s="11">
        <v>264885</v>
      </c>
      <c r="D5" s="11">
        <v>87381854</v>
      </c>
      <c r="E5" s="11">
        <v>345407</v>
      </c>
      <c r="F5" s="11">
        <v>18816666</v>
      </c>
      <c r="G5" s="11">
        <v>7363464</v>
      </c>
      <c r="H5" s="11">
        <v>3148519</v>
      </c>
      <c r="I5" s="11">
        <v>50590</v>
      </c>
      <c r="J5" s="11">
        <v>140039</v>
      </c>
      <c r="K5" s="11">
        <v>142146</v>
      </c>
      <c r="L5" s="11">
        <v>1040087.08</v>
      </c>
      <c r="M5" s="11">
        <v>4829460</v>
      </c>
      <c r="N5" s="11">
        <v>2379362</v>
      </c>
      <c r="O5" s="11">
        <v>26656550</v>
      </c>
      <c r="P5" s="11">
        <v>20801943</v>
      </c>
      <c r="Q5" s="11">
        <v>11580776</v>
      </c>
      <c r="R5" s="11">
        <v>85767</v>
      </c>
      <c r="S5" s="11">
        <v>345633</v>
      </c>
      <c r="T5" s="11">
        <v>281817</v>
      </c>
      <c r="U5" s="11">
        <v>638346</v>
      </c>
      <c r="V5" s="11">
        <v>37107086</v>
      </c>
      <c r="W5" s="11">
        <v>22889837</v>
      </c>
      <c r="X5" s="11">
        <v>2011348</v>
      </c>
      <c r="Y5" s="11">
        <v>169983</v>
      </c>
      <c r="Z5" s="11">
        <v>12855985</v>
      </c>
      <c r="AA5" s="11">
        <v>7255</v>
      </c>
      <c r="AB5" s="11">
        <v>78515</v>
      </c>
      <c r="AC5" s="11">
        <v>4195612</v>
      </c>
      <c r="AD5" s="11">
        <v>9916295</v>
      </c>
      <c r="AE5" s="11">
        <v>15670.19</v>
      </c>
      <c r="AF5" s="11">
        <v>33257</v>
      </c>
      <c r="AG5" s="11">
        <v>20037840</v>
      </c>
      <c r="AH5" s="11">
        <v>7689800</v>
      </c>
      <c r="AI5" s="11">
        <v>4207649</v>
      </c>
      <c r="AJ5" s="92">
        <f t="shared" ref="AJ5:AJ15" si="0">SUM(B5:AI5)</f>
        <v>308090684.26999998</v>
      </c>
    </row>
    <row r="6" spans="1:36" ht="15" customHeight="1" x14ac:dyDescent="0.25">
      <c r="A6" s="3" t="s">
        <v>106</v>
      </c>
      <c r="B6" s="11"/>
      <c r="C6" s="11"/>
      <c r="D6" s="11"/>
      <c r="E6" s="11"/>
      <c r="F6" s="11"/>
      <c r="G6" s="11">
        <v>65679</v>
      </c>
      <c r="H6" s="11"/>
      <c r="I6" s="11"/>
      <c r="J6" s="11"/>
      <c r="K6" s="11"/>
      <c r="L6" s="11"/>
      <c r="M6" s="11"/>
      <c r="N6" s="11"/>
      <c r="O6" s="11"/>
      <c r="P6" s="11">
        <v>1149511</v>
      </c>
      <c r="Q6" s="11"/>
      <c r="S6" s="11"/>
      <c r="T6" s="11">
        <v>759106</v>
      </c>
      <c r="U6" s="11"/>
      <c r="V6" s="11">
        <v>25526854</v>
      </c>
      <c r="W6" s="11">
        <v>752500</v>
      </c>
      <c r="X6" s="11">
        <v>957490</v>
      </c>
      <c r="Y6" s="11"/>
      <c r="Z6" s="11"/>
      <c r="AA6" s="11"/>
      <c r="AB6" s="11"/>
      <c r="AC6" s="11"/>
      <c r="AD6" s="11"/>
      <c r="AE6" s="11">
        <v>8343.86</v>
      </c>
      <c r="AF6" s="11"/>
      <c r="AG6" s="11"/>
      <c r="AH6" s="11">
        <v>5857</v>
      </c>
      <c r="AI6" s="11"/>
      <c r="AJ6" s="92">
        <f t="shared" si="0"/>
        <v>29225340.859999999</v>
      </c>
    </row>
    <row r="7" spans="1:36" ht="15" customHeight="1" x14ac:dyDescent="0.25">
      <c r="A7" s="3" t="s">
        <v>107</v>
      </c>
      <c r="B7" s="11">
        <v>281834</v>
      </c>
      <c r="C7" s="11">
        <v>65699</v>
      </c>
      <c r="D7" s="11"/>
      <c r="E7" s="11">
        <v>236845</v>
      </c>
      <c r="F7" s="11">
        <v>9549667</v>
      </c>
      <c r="G7" s="11">
        <v>2926130</v>
      </c>
      <c r="H7" s="11">
        <v>4706283</v>
      </c>
      <c r="I7" s="11">
        <v>58212</v>
      </c>
      <c r="J7" s="11">
        <v>98444</v>
      </c>
      <c r="K7" s="11">
        <v>9924</v>
      </c>
      <c r="L7" s="11">
        <v>2244266.9700000002</v>
      </c>
      <c r="M7" s="11">
        <v>940212</v>
      </c>
      <c r="N7" s="11">
        <v>137796</v>
      </c>
      <c r="O7" s="11">
        <v>5834704</v>
      </c>
      <c r="P7" s="11">
        <v>23106202</v>
      </c>
      <c r="Q7" s="11">
        <v>5800263</v>
      </c>
      <c r="R7" s="11">
        <v>160664</v>
      </c>
      <c r="S7" s="11">
        <v>2917151</v>
      </c>
      <c r="T7" s="11">
        <v>1594195</v>
      </c>
      <c r="U7" s="11">
        <v>74866</v>
      </c>
      <c r="V7" s="11">
        <v>8263460</v>
      </c>
      <c r="W7" s="11">
        <v>7821999</v>
      </c>
      <c r="X7" s="11">
        <v>4323276</v>
      </c>
      <c r="Y7" s="11">
        <v>2631</v>
      </c>
      <c r="Z7" s="11">
        <v>5482523</v>
      </c>
      <c r="AA7" s="11"/>
      <c r="AB7" s="11">
        <v>451693</v>
      </c>
      <c r="AC7" s="11">
        <v>1627028</v>
      </c>
      <c r="AD7" s="11">
        <v>1081880</v>
      </c>
      <c r="AE7" s="11">
        <v>2926558.83</v>
      </c>
      <c r="AF7" s="11">
        <v>769497</v>
      </c>
      <c r="AG7" s="11">
        <v>10223667</v>
      </c>
      <c r="AH7" s="11">
        <v>2678885</v>
      </c>
      <c r="AI7" s="11">
        <v>1241474</v>
      </c>
      <c r="AJ7" s="92">
        <f t="shared" si="0"/>
        <v>107637929.8</v>
      </c>
    </row>
    <row r="8" spans="1:36" ht="15" customHeight="1" x14ac:dyDescent="0.25">
      <c r="A8" s="3" t="s">
        <v>108</v>
      </c>
      <c r="B8" s="11"/>
      <c r="C8" s="11">
        <v>375054</v>
      </c>
      <c r="D8" s="11"/>
      <c r="E8" s="11">
        <v>414852</v>
      </c>
      <c r="F8" s="11">
        <v>1885808</v>
      </c>
      <c r="G8" s="11">
        <v>1006347</v>
      </c>
      <c r="H8" s="11">
        <v>1054338</v>
      </c>
      <c r="I8" s="11">
        <v>419313</v>
      </c>
      <c r="J8" s="11">
        <v>40857</v>
      </c>
      <c r="K8" s="11">
        <v>7604</v>
      </c>
      <c r="L8" s="11">
        <v>293893.81</v>
      </c>
      <c r="M8" s="11">
        <v>1344314</v>
      </c>
      <c r="N8" s="11">
        <v>2707026</v>
      </c>
      <c r="O8" s="11">
        <v>3015206</v>
      </c>
      <c r="P8" s="11">
        <v>5180537</v>
      </c>
      <c r="Q8" s="11">
        <v>1374464</v>
      </c>
      <c r="R8" s="11">
        <v>102962</v>
      </c>
      <c r="S8" s="11">
        <v>314312</v>
      </c>
      <c r="T8" s="11">
        <v>24932</v>
      </c>
      <c r="U8" s="11">
        <v>64627</v>
      </c>
      <c r="V8" s="11">
        <v>2600513</v>
      </c>
      <c r="W8" s="11">
        <v>6880914</v>
      </c>
      <c r="X8" s="11">
        <v>0</v>
      </c>
      <c r="Y8" s="11">
        <v>4027</v>
      </c>
      <c r="Z8" s="11">
        <v>2862879</v>
      </c>
      <c r="AA8" s="11">
        <v>1446</v>
      </c>
      <c r="AB8" s="11">
        <v>420673</v>
      </c>
      <c r="AC8" s="11">
        <v>164878</v>
      </c>
      <c r="AD8" s="11">
        <v>2452857</v>
      </c>
      <c r="AE8" s="11">
        <v>89343.039999999994</v>
      </c>
      <c r="AF8" s="11">
        <v>85331</v>
      </c>
      <c r="AG8" s="11">
        <v>4510819</v>
      </c>
      <c r="AH8" s="11"/>
      <c r="AI8" s="11">
        <v>16534</v>
      </c>
      <c r="AJ8" s="92">
        <f t="shared" si="0"/>
        <v>39716660.850000001</v>
      </c>
    </row>
    <row r="9" spans="1:36" ht="15" customHeight="1" x14ac:dyDescent="0.25">
      <c r="A9" s="3" t="s">
        <v>109</v>
      </c>
      <c r="B9" s="11">
        <v>382205</v>
      </c>
      <c r="C9" s="11">
        <v>483081</v>
      </c>
      <c r="D9" s="11">
        <v>2147800</v>
      </c>
      <c r="E9" s="11">
        <v>527625</v>
      </c>
      <c r="F9" s="11">
        <v>4020608</v>
      </c>
      <c r="G9" s="11">
        <v>556103</v>
      </c>
      <c r="H9" s="11">
        <v>945648</v>
      </c>
      <c r="I9" s="11">
        <v>41846</v>
      </c>
      <c r="J9" s="11">
        <v>204985</v>
      </c>
      <c r="K9" s="11">
        <v>193280</v>
      </c>
      <c r="L9" s="11">
        <v>271822.59999999998</v>
      </c>
      <c r="M9" s="11">
        <v>1066644</v>
      </c>
      <c r="N9" s="11">
        <v>1001011</v>
      </c>
      <c r="O9" s="11">
        <v>5593346</v>
      </c>
      <c r="P9" s="11">
        <v>5639731</v>
      </c>
      <c r="Q9" s="11">
        <v>910219</v>
      </c>
      <c r="R9" s="11">
        <v>910</v>
      </c>
      <c r="S9" s="11">
        <v>423369</v>
      </c>
      <c r="T9" s="11">
        <v>484192</v>
      </c>
      <c r="U9" s="11">
        <v>1208749</v>
      </c>
      <c r="V9" s="11">
        <v>10872151</v>
      </c>
      <c r="W9" s="11">
        <v>18818079</v>
      </c>
      <c r="X9" s="11">
        <v>10734852</v>
      </c>
      <c r="Y9" s="11">
        <v>58045</v>
      </c>
      <c r="Z9" s="11">
        <v>2884431</v>
      </c>
      <c r="AA9" s="11">
        <v>9425</v>
      </c>
      <c r="AB9" s="11">
        <v>1401144</v>
      </c>
      <c r="AC9" s="11">
        <v>1214543</v>
      </c>
      <c r="AD9" s="11">
        <v>2233099</v>
      </c>
      <c r="AE9" s="11">
        <v>176730</v>
      </c>
      <c r="AF9" s="11">
        <v>1760299</v>
      </c>
      <c r="AG9" s="11">
        <v>4996117</v>
      </c>
      <c r="AH9" s="11">
        <v>26268927</v>
      </c>
      <c r="AI9" s="11">
        <v>426138</v>
      </c>
      <c r="AJ9" s="92">
        <f t="shared" si="0"/>
        <v>107957154.59999999</v>
      </c>
    </row>
    <row r="10" spans="1:36" ht="15" customHeight="1" x14ac:dyDescent="0.25">
      <c r="A10" s="3" t="s">
        <v>110</v>
      </c>
      <c r="B10" s="11">
        <v>35297</v>
      </c>
      <c r="C10" s="11">
        <v>46321</v>
      </c>
      <c r="D10" s="11"/>
      <c r="E10" s="11"/>
      <c r="F10" s="11"/>
      <c r="G10" s="11"/>
      <c r="H10" s="11"/>
      <c r="I10" s="11"/>
      <c r="J10" s="11"/>
      <c r="K10" s="11">
        <v>7711</v>
      </c>
      <c r="L10" s="11"/>
      <c r="M10" s="11"/>
      <c r="N10" s="11">
        <v>-15</v>
      </c>
      <c r="O10" s="11">
        <v>134494</v>
      </c>
      <c r="P10" s="11">
        <v>98048</v>
      </c>
      <c r="Q10" s="11"/>
      <c r="R10" s="11">
        <v>23524</v>
      </c>
      <c r="S10" s="11"/>
      <c r="T10" s="11"/>
      <c r="U10" s="11"/>
      <c r="V10" s="11"/>
      <c r="W10" s="11">
        <v>0</v>
      </c>
      <c r="X10" s="11">
        <v>0</v>
      </c>
      <c r="Y10" s="11"/>
      <c r="Z10" s="11"/>
      <c r="AA10" s="11"/>
      <c r="AB10" s="11">
        <v>879</v>
      </c>
      <c r="AC10" s="11"/>
      <c r="AD10" s="11">
        <v>229145</v>
      </c>
      <c r="AE10" s="11"/>
      <c r="AF10" s="11"/>
      <c r="AG10" s="11"/>
      <c r="AH10" s="11">
        <v>207208147</v>
      </c>
      <c r="AI10" s="11"/>
      <c r="AJ10" s="92">
        <f t="shared" si="0"/>
        <v>207783551</v>
      </c>
    </row>
    <row r="11" spans="1:36" ht="15" customHeight="1" x14ac:dyDescent="0.25">
      <c r="A11" s="3" t="s">
        <v>111</v>
      </c>
      <c r="B11" s="11">
        <v>526307</v>
      </c>
      <c r="C11" s="11">
        <v>699243</v>
      </c>
      <c r="D11" s="11">
        <v>35167044</v>
      </c>
      <c r="E11" s="11">
        <v>2794863</v>
      </c>
      <c r="F11" s="11">
        <v>78748272</v>
      </c>
      <c r="G11" s="11">
        <v>22186913</v>
      </c>
      <c r="H11" s="11">
        <v>48213898</v>
      </c>
      <c r="I11" s="11">
        <v>614627</v>
      </c>
      <c r="J11" s="11">
        <v>335919</v>
      </c>
      <c r="K11" s="11">
        <v>601276</v>
      </c>
      <c r="L11" s="11">
        <v>60238463.780000001</v>
      </c>
      <c r="M11" s="11">
        <v>20583116</v>
      </c>
      <c r="N11" s="11">
        <v>5693715</v>
      </c>
      <c r="O11" s="11">
        <v>41368900</v>
      </c>
      <c r="P11" s="11">
        <v>172941703</v>
      </c>
      <c r="Q11" s="11">
        <v>48160835</v>
      </c>
      <c r="R11" s="11">
        <v>1897787</v>
      </c>
      <c r="S11" s="11">
        <v>8069436</v>
      </c>
      <c r="T11" s="11">
        <v>9722435</v>
      </c>
      <c r="U11" s="11">
        <v>1321661</v>
      </c>
      <c r="V11" s="11">
        <v>164901382</v>
      </c>
      <c r="W11" s="11">
        <v>246743485</v>
      </c>
      <c r="X11" s="11">
        <v>135357593</v>
      </c>
      <c r="Y11" s="11">
        <v>1844878</v>
      </c>
      <c r="Z11" s="11">
        <f>56540481+137330</f>
        <v>56677811</v>
      </c>
      <c r="AA11" s="11">
        <v>11515</v>
      </c>
      <c r="AB11" s="11">
        <v>2351416</v>
      </c>
      <c r="AC11" s="11">
        <v>30971377</v>
      </c>
      <c r="AD11" s="11">
        <v>27528931</v>
      </c>
      <c r="AE11" s="11">
        <v>61252169.740000002</v>
      </c>
      <c r="AF11" s="11">
        <v>4811698</v>
      </c>
      <c r="AG11" s="11">
        <v>49212941</v>
      </c>
      <c r="AH11" s="11"/>
      <c r="AI11" s="11">
        <v>14747010</v>
      </c>
      <c r="AJ11" s="92">
        <f t="shared" si="0"/>
        <v>1356298620.52</v>
      </c>
    </row>
    <row r="12" spans="1:36" ht="15" customHeight="1" x14ac:dyDescent="0.25">
      <c r="A12" s="3" t="s">
        <v>112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>
        <v>237545.14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>
        <v>7744</v>
      </c>
      <c r="AD12" s="11"/>
      <c r="AE12" s="11"/>
      <c r="AF12" s="11"/>
      <c r="AG12" s="11">
        <v>2700</v>
      </c>
      <c r="AH12" s="11"/>
      <c r="AI12" s="11"/>
      <c r="AJ12" s="92">
        <f t="shared" si="0"/>
        <v>247989.14</v>
      </c>
    </row>
    <row r="13" spans="1:36" ht="15" customHeight="1" x14ac:dyDescent="0.25">
      <c r="A13" s="3" t="s">
        <v>113</v>
      </c>
      <c r="B13" s="11"/>
      <c r="C13">
        <v>707</v>
      </c>
      <c r="D13" s="11"/>
      <c r="E13" s="11">
        <v>26521</v>
      </c>
      <c r="F13" s="11">
        <v>183263</v>
      </c>
      <c r="G13" s="11">
        <v>254130</v>
      </c>
      <c r="H13" s="11"/>
      <c r="I13" s="11">
        <v>7214</v>
      </c>
      <c r="J13" s="11"/>
      <c r="K13" s="11"/>
      <c r="L13" s="11">
        <v>16738.189999999999</v>
      </c>
      <c r="M13" s="11">
        <v>64357</v>
      </c>
      <c r="N13" s="11"/>
      <c r="O13" s="11">
        <v>252668</v>
      </c>
      <c r="P13" s="11">
        <v>2269453</v>
      </c>
      <c r="Q13" s="11">
        <v>238202</v>
      </c>
      <c r="R13" s="11">
        <v>1626</v>
      </c>
      <c r="S13" s="11">
        <v>5408</v>
      </c>
      <c r="T13" s="11">
        <v>28559</v>
      </c>
      <c r="U13" s="11">
        <v>11884</v>
      </c>
      <c r="V13" s="11">
        <v>880442</v>
      </c>
      <c r="W13" s="11">
        <v>1925840</v>
      </c>
      <c r="X13" s="11">
        <v>881001</v>
      </c>
      <c r="Y13" s="11">
        <v>7079</v>
      </c>
      <c r="Z13" s="11"/>
      <c r="AA13" s="11"/>
      <c r="AB13" s="11">
        <v>19657</v>
      </c>
      <c r="AC13" s="11">
        <v>61726</v>
      </c>
      <c r="AD13" s="11">
        <v>43410</v>
      </c>
      <c r="AE13" s="11">
        <v>247186.67</v>
      </c>
      <c r="AF13" s="11">
        <v>71897</v>
      </c>
      <c r="AG13" s="11">
        <v>283301</v>
      </c>
      <c r="AH13" s="11">
        <v>1745602</v>
      </c>
      <c r="AI13" s="11"/>
      <c r="AJ13" s="92">
        <f t="shared" si="0"/>
        <v>9527871.8599999994</v>
      </c>
    </row>
    <row r="14" spans="1:36" x14ac:dyDescent="0.25">
      <c r="A14" s="3" t="s">
        <v>46</v>
      </c>
      <c r="B14" s="11">
        <f>B15-B13-B12-B11-B10-B9-B8-B7-B6-B5-B4</f>
        <v>120959</v>
      </c>
      <c r="C14" s="11">
        <f t="shared" ref="C14:AI14" si="1">C15-C13-C12-C11-C10-C9-C8-C7-C6-C5-C4</f>
        <v>381579</v>
      </c>
      <c r="D14" s="11">
        <f t="shared" si="1"/>
        <v>41175506</v>
      </c>
      <c r="E14" s="11">
        <f t="shared" si="1"/>
        <v>926226</v>
      </c>
      <c r="F14" s="11">
        <f t="shared" si="1"/>
        <v>2878967</v>
      </c>
      <c r="G14" s="11">
        <f t="shared" si="1"/>
        <v>2753223</v>
      </c>
      <c r="H14" s="11">
        <f t="shared" si="1"/>
        <v>2822763</v>
      </c>
      <c r="I14" s="11">
        <f t="shared" si="1"/>
        <v>602843</v>
      </c>
      <c r="J14" s="11">
        <f t="shared" si="1"/>
        <v>54344</v>
      </c>
      <c r="K14" s="11">
        <f t="shared" si="1"/>
        <v>9765</v>
      </c>
      <c r="L14" s="11">
        <f t="shared" si="1"/>
        <v>201028.78000000177</v>
      </c>
      <c r="M14" s="11">
        <f t="shared" si="1"/>
        <v>472027</v>
      </c>
      <c r="N14" s="11">
        <f t="shared" si="1"/>
        <v>842310</v>
      </c>
      <c r="O14" s="11">
        <f t="shared" si="1"/>
        <v>574198</v>
      </c>
      <c r="P14" s="11">
        <f t="shared" si="1"/>
        <v>3228136</v>
      </c>
      <c r="Q14" s="11">
        <f t="shared" si="1"/>
        <v>957644</v>
      </c>
      <c r="R14" s="11">
        <f t="shared" si="1"/>
        <v>266237</v>
      </c>
      <c r="S14" s="11">
        <f t="shared" si="1"/>
        <v>553508</v>
      </c>
      <c r="T14" s="11">
        <f t="shared" si="1"/>
        <v>457642</v>
      </c>
      <c r="U14" s="11">
        <f t="shared" si="1"/>
        <v>116428</v>
      </c>
      <c r="V14" s="11">
        <f t="shared" si="1"/>
        <v>5855811</v>
      </c>
      <c r="W14" s="11">
        <f t="shared" si="1"/>
        <v>754917</v>
      </c>
      <c r="X14" s="11">
        <f t="shared" si="1"/>
        <v>685950</v>
      </c>
      <c r="Y14" s="11">
        <f t="shared" si="1"/>
        <v>27621</v>
      </c>
      <c r="Z14" s="11">
        <f t="shared" si="1"/>
        <v>2648551</v>
      </c>
      <c r="AA14" s="11">
        <f t="shared" si="1"/>
        <v>135763</v>
      </c>
      <c r="AB14" s="11">
        <f t="shared" si="1"/>
        <v>427005</v>
      </c>
      <c r="AC14" s="11">
        <f t="shared" si="1"/>
        <v>350365</v>
      </c>
      <c r="AD14" s="11">
        <f t="shared" si="1"/>
        <v>430880</v>
      </c>
      <c r="AE14" s="11">
        <f t="shared" si="1"/>
        <v>1414980.0299999961</v>
      </c>
      <c r="AF14" s="11">
        <f t="shared" si="1"/>
        <v>1879264</v>
      </c>
      <c r="AG14" s="11">
        <f t="shared" si="1"/>
        <v>380809</v>
      </c>
      <c r="AH14" s="11">
        <f t="shared" si="1"/>
        <v>1330</v>
      </c>
      <c r="AI14" s="11">
        <f t="shared" si="1"/>
        <v>295437</v>
      </c>
      <c r="AJ14" s="92">
        <f t="shared" si="0"/>
        <v>74684016.810000002</v>
      </c>
    </row>
    <row r="15" spans="1:36" s="9" customFormat="1" x14ac:dyDescent="0.25">
      <c r="A15" s="4" t="s">
        <v>56</v>
      </c>
      <c r="B15" s="12">
        <v>1936684</v>
      </c>
      <c r="C15" s="12">
        <v>2408249</v>
      </c>
      <c r="D15" s="12">
        <v>165872204</v>
      </c>
      <c r="E15" s="12">
        <v>5416741</v>
      </c>
      <c r="F15" s="12">
        <v>117617949</v>
      </c>
      <c r="G15" s="12">
        <v>37299971</v>
      </c>
      <c r="H15" s="12">
        <v>61161521</v>
      </c>
      <c r="I15" s="12">
        <v>1834469</v>
      </c>
      <c r="J15" s="12">
        <v>946732</v>
      </c>
      <c r="K15" s="12">
        <v>974295</v>
      </c>
      <c r="L15" s="12">
        <v>64543846.350000001</v>
      </c>
      <c r="M15" s="12">
        <v>29391939</v>
      </c>
      <c r="N15" s="12">
        <v>12888035</v>
      </c>
      <c r="O15" s="12">
        <v>83737367</v>
      </c>
      <c r="P15" s="12">
        <v>234536521</v>
      </c>
      <c r="Q15" s="12">
        <v>69542223</v>
      </c>
      <c r="R15" s="12">
        <v>2566220</v>
      </c>
      <c r="S15" s="12">
        <v>12895321</v>
      </c>
      <c r="T15" s="12">
        <v>13377738</v>
      </c>
      <c r="U15" s="12">
        <v>3525336</v>
      </c>
      <c r="V15" s="12">
        <v>257404238</v>
      </c>
      <c r="W15" s="12">
        <v>308443082</v>
      </c>
      <c r="X15" s="12">
        <v>155900734</v>
      </c>
      <c r="Y15" s="12">
        <v>2128779</v>
      </c>
      <c r="Z15" s="12">
        <v>83701158</v>
      </c>
      <c r="AA15" s="12">
        <v>165503</v>
      </c>
      <c r="AB15" s="12">
        <v>5303612</v>
      </c>
      <c r="AC15" s="12">
        <v>38938034</v>
      </c>
      <c r="AD15" s="12">
        <v>44307701</v>
      </c>
      <c r="AE15" s="12">
        <v>66251789</v>
      </c>
      <c r="AF15" s="12">
        <v>9641051</v>
      </c>
      <c r="AG15" s="12">
        <v>90673630</v>
      </c>
      <c r="AH15" s="12">
        <v>246719167</v>
      </c>
      <c r="AI15" s="12">
        <v>21040717</v>
      </c>
      <c r="AJ15" s="91">
        <f t="shared" si="0"/>
        <v>2253092556.3499999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5" bestFit="1" customWidth="1"/>
    <col min="2" max="2" width="12.85546875" style="8" customWidth="1"/>
    <col min="3" max="5" width="12.85546875" style="55" customWidth="1"/>
    <col min="6" max="6" width="12.85546875" style="58" customWidth="1"/>
    <col min="7" max="10" width="12.85546875" style="55" customWidth="1"/>
    <col min="11" max="11" width="12.85546875" style="58" customWidth="1"/>
    <col min="12" max="12" width="12.85546875" style="104" customWidth="1"/>
    <col min="13" max="16" width="12.85546875" style="55" customWidth="1"/>
    <col min="17" max="17" width="12.85546875" style="8" customWidth="1"/>
    <col min="18" max="20" width="12.85546875" style="55" customWidth="1"/>
    <col min="21" max="21" width="12.85546875" style="58" customWidth="1"/>
    <col min="22" max="22" width="12.85546875" style="8" customWidth="1"/>
    <col min="23" max="25" width="12.85546875" style="55" customWidth="1"/>
    <col min="26" max="26" width="12.85546875" style="58" customWidth="1"/>
    <col min="27" max="27" width="12.85546875" style="8" customWidth="1"/>
    <col min="28" max="30" width="12.85546875" style="55" customWidth="1"/>
    <col min="31" max="31" width="12.85546875" style="58" customWidth="1"/>
    <col min="32" max="32" width="12.85546875" style="8" customWidth="1"/>
    <col min="33" max="35" width="12.85546875" style="55" customWidth="1"/>
    <col min="36" max="36" width="12.85546875" style="58" customWidth="1"/>
    <col min="37" max="40" width="12.85546875" style="55" customWidth="1"/>
    <col min="41" max="41" width="12.85546875" style="58" customWidth="1"/>
    <col min="42" max="42" width="12.85546875" style="8" customWidth="1"/>
    <col min="43" max="45" width="12.85546875" style="55" customWidth="1"/>
    <col min="46" max="46" width="12.85546875" style="58" customWidth="1"/>
    <col min="47" max="47" width="12.85546875" style="8" customWidth="1"/>
    <col min="48" max="50" width="12.85546875" style="55" customWidth="1"/>
    <col min="51" max="51" width="12.85546875" style="58" customWidth="1"/>
    <col min="52" max="52" width="12.85546875" style="8" customWidth="1"/>
    <col min="53" max="55" width="12.85546875" style="55" customWidth="1"/>
    <col min="56" max="56" width="12.85546875" style="58" customWidth="1"/>
    <col min="57" max="57" width="12.85546875" style="8" customWidth="1"/>
    <col min="58" max="60" width="12.85546875" style="55" customWidth="1"/>
    <col min="61" max="61" width="12.85546875" style="58" customWidth="1"/>
    <col min="62" max="62" width="12.85546875" style="8" customWidth="1"/>
    <col min="63" max="65" width="12.85546875" style="55" customWidth="1"/>
    <col min="66" max="66" width="12.85546875" style="58" customWidth="1"/>
    <col min="67" max="67" width="12.85546875" style="8" customWidth="1"/>
    <col min="68" max="70" width="12.85546875" style="55" customWidth="1"/>
    <col min="71" max="71" width="12.85546875" style="58" customWidth="1"/>
    <col min="72" max="75" width="12.85546875" style="55" customWidth="1"/>
    <col min="76" max="76" width="12.85546875" style="58" customWidth="1"/>
    <col min="77" max="77" width="12.85546875" style="8" customWidth="1"/>
    <col min="78" max="80" width="12.85546875" style="55" customWidth="1"/>
    <col min="81" max="81" width="12.85546875" style="58" customWidth="1"/>
    <col min="82" max="82" width="12.85546875" style="8" customWidth="1"/>
    <col min="83" max="85" width="12.85546875" style="55" customWidth="1"/>
    <col min="86" max="86" width="12.85546875" style="58" customWidth="1"/>
    <col min="87" max="90" width="12.85546875" style="55" customWidth="1"/>
    <col min="91" max="91" width="12.85546875" style="58" customWidth="1"/>
    <col min="92" max="92" width="12.85546875" style="8" customWidth="1"/>
    <col min="93" max="95" width="12.85546875" style="55" customWidth="1"/>
    <col min="96" max="96" width="12.85546875" style="58" customWidth="1"/>
    <col min="97" max="97" width="12.85546875" style="8" customWidth="1"/>
    <col min="98" max="100" width="12.85546875" style="55" customWidth="1"/>
    <col min="101" max="101" width="12.85546875" style="58" customWidth="1"/>
    <col min="102" max="106" width="12.85546875" style="55" customWidth="1"/>
    <col min="107" max="107" width="12.85546875" style="8" customWidth="1"/>
    <col min="108" max="110" width="12.85546875" style="55" customWidth="1"/>
    <col min="111" max="111" width="12.85546875" style="58" customWidth="1"/>
    <col min="112" max="116" width="12.85546875" style="55" customWidth="1"/>
    <col min="117" max="117" width="12.85546875" style="8" customWidth="1"/>
    <col min="118" max="121" width="12.85546875" style="55" customWidth="1"/>
    <col min="122" max="122" width="12.85546875" style="8" customWidth="1"/>
    <col min="123" max="125" width="12.85546875" style="55" customWidth="1"/>
    <col min="126" max="126" width="12.85546875" style="58" customWidth="1"/>
    <col min="127" max="127" width="12.85546875" style="84" customWidth="1"/>
    <col min="128" max="131" width="12.85546875" style="58" customWidth="1"/>
    <col min="132" max="132" width="12.85546875" style="8" customWidth="1"/>
    <col min="133" max="136" width="12.85546875" style="55" customWidth="1"/>
    <col min="137" max="137" width="12.85546875" style="8" customWidth="1"/>
    <col min="138" max="140" width="12.85546875" style="55" customWidth="1"/>
    <col min="141" max="141" width="12.85546875" style="58" customWidth="1"/>
    <col min="142" max="142" width="12.85546875" style="8" customWidth="1"/>
    <col min="143" max="146" width="12.85546875" style="55" customWidth="1"/>
    <col min="147" max="147" width="12.85546875" style="8" customWidth="1"/>
    <col min="148" max="150" width="12.85546875" style="55" customWidth="1"/>
    <col min="151" max="151" width="12.85546875" style="58" customWidth="1"/>
    <col min="152" max="155" width="12.85546875" style="55" customWidth="1"/>
    <col min="156" max="156" width="12.85546875" style="58" customWidth="1"/>
    <col min="157" max="157" width="12.85546875" style="8" customWidth="1"/>
    <col min="158" max="160" width="12.85546875" style="55" customWidth="1"/>
    <col min="161" max="161" width="12.85546875" style="58" customWidth="1"/>
    <col min="162" max="162" width="12.85546875" style="8" customWidth="1"/>
    <col min="163" max="165" width="12.85546875" style="55" customWidth="1"/>
    <col min="166" max="166" width="12.85546875" style="58" customWidth="1"/>
    <col min="167" max="167" width="12.85546875" style="55" customWidth="1"/>
    <col min="168" max="168" width="12.85546875" style="8" customWidth="1"/>
    <col min="169" max="170" width="12.85546875" style="55" customWidth="1"/>
    <col min="171" max="171" width="12.85546875" style="58" customWidth="1"/>
    <col min="172" max="16384" width="9.140625" style="55"/>
  </cols>
  <sheetData>
    <row r="1" spans="1:171" ht="34.5" x14ac:dyDescent="0.25">
      <c r="A1" s="70" t="s">
        <v>286</v>
      </c>
    </row>
    <row r="2" spans="1:171" x14ac:dyDescent="0.25">
      <c r="A2" s="56" t="s">
        <v>0</v>
      </c>
      <c r="B2" s="118" t="s">
        <v>1</v>
      </c>
      <c r="C2" s="118"/>
      <c r="D2" s="118"/>
      <c r="E2" s="118"/>
      <c r="F2" s="118"/>
      <c r="G2" s="118" t="s">
        <v>2</v>
      </c>
      <c r="H2" s="118"/>
      <c r="I2" s="118"/>
      <c r="J2" s="118"/>
      <c r="K2" s="118"/>
      <c r="L2" s="118" t="s">
        <v>3</v>
      </c>
      <c r="M2" s="118"/>
      <c r="N2" s="118"/>
      <c r="O2" s="118"/>
      <c r="P2" s="118"/>
      <c r="Q2" s="118" t="s">
        <v>4</v>
      </c>
      <c r="R2" s="118"/>
      <c r="S2" s="118"/>
      <c r="T2" s="118"/>
      <c r="U2" s="118"/>
      <c r="V2" s="118" t="s">
        <v>5</v>
      </c>
      <c r="W2" s="118"/>
      <c r="X2" s="118"/>
      <c r="Y2" s="118"/>
      <c r="Z2" s="118"/>
      <c r="AA2" s="118" t="s">
        <v>6</v>
      </c>
      <c r="AB2" s="118"/>
      <c r="AC2" s="118"/>
      <c r="AD2" s="118"/>
      <c r="AE2" s="118"/>
      <c r="AF2" s="118" t="s">
        <v>7</v>
      </c>
      <c r="AG2" s="118"/>
      <c r="AH2" s="118"/>
      <c r="AI2" s="118"/>
      <c r="AJ2" s="118"/>
      <c r="AK2" s="118" t="s">
        <v>8</v>
      </c>
      <c r="AL2" s="118"/>
      <c r="AM2" s="118"/>
      <c r="AN2" s="118"/>
      <c r="AO2" s="118"/>
      <c r="AP2" s="118" t="s">
        <v>9</v>
      </c>
      <c r="AQ2" s="118"/>
      <c r="AR2" s="118"/>
      <c r="AS2" s="118"/>
      <c r="AT2" s="118"/>
      <c r="AU2" s="118" t="s">
        <v>10</v>
      </c>
      <c r="AV2" s="118"/>
      <c r="AW2" s="118"/>
      <c r="AX2" s="118"/>
      <c r="AY2" s="118"/>
      <c r="AZ2" s="118" t="s">
        <v>11</v>
      </c>
      <c r="BA2" s="118"/>
      <c r="BB2" s="118"/>
      <c r="BC2" s="118"/>
      <c r="BD2" s="118"/>
      <c r="BE2" s="118" t="s">
        <v>12</v>
      </c>
      <c r="BF2" s="118"/>
      <c r="BG2" s="118"/>
      <c r="BH2" s="118"/>
      <c r="BI2" s="118"/>
      <c r="BJ2" s="118" t="s">
        <v>13</v>
      </c>
      <c r="BK2" s="118"/>
      <c r="BL2" s="118"/>
      <c r="BM2" s="118"/>
      <c r="BN2" s="118"/>
      <c r="BO2" s="118" t="s">
        <v>14</v>
      </c>
      <c r="BP2" s="118"/>
      <c r="BQ2" s="118"/>
      <c r="BR2" s="118"/>
      <c r="BS2" s="118"/>
      <c r="BT2" s="118" t="s">
        <v>15</v>
      </c>
      <c r="BU2" s="118"/>
      <c r="BV2" s="118"/>
      <c r="BW2" s="118"/>
      <c r="BX2" s="118"/>
      <c r="BY2" s="118" t="s">
        <v>16</v>
      </c>
      <c r="BZ2" s="118"/>
      <c r="CA2" s="118"/>
      <c r="CB2" s="118"/>
      <c r="CC2" s="118"/>
      <c r="CD2" s="118" t="s">
        <v>17</v>
      </c>
      <c r="CE2" s="118"/>
      <c r="CF2" s="118"/>
      <c r="CG2" s="118"/>
      <c r="CH2" s="118"/>
      <c r="CI2" s="118" t="s">
        <v>18</v>
      </c>
      <c r="CJ2" s="118"/>
      <c r="CK2" s="118"/>
      <c r="CL2" s="118"/>
      <c r="CM2" s="118"/>
      <c r="CN2" s="118" t="s">
        <v>19</v>
      </c>
      <c r="CO2" s="118"/>
      <c r="CP2" s="118"/>
      <c r="CQ2" s="118"/>
      <c r="CR2" s="118"/>
      <c r="CS2" s="118" t="s">
        <v>20</v>
      </c>
      <c r="CT2" s="118"/>
      <c r="CU2" s="118"/>
      <c r="CV2" s="118"/>
      <c r="CW2" s="118"/>
      <c r="CX2" s="118" t="s">
        <v>21</v>
      </c>
      <c r="CY2" s="118"/>
      <c r="CZ2" s="118"/>
      <c r="DA2" s="118"/>
      <c r="DB2" s="118"/>
      <c r="DC2" s="118" t="s">
        <v>22</v>
      </c>
      <c r="DD2" s="118"/>
      <c r="DE2" s="118"/>
      <c r="DF2" s="118"/>
      <c r="DG2" s="118"/>
      <c r="DH2" s="118" t="s">
        <v>23</v>
      </c>
      <c r="DI2" s="118"/>
      <c r="DJ2" s="118"/>
      <c r="DK2" s="118"/>
      <c r="DL2" s="118"/>
      <c r="DM2" s="118" t="s">
        <v>24</v>
      </c>
      <c r="DN2" s="118"/>
      <c r="DO2" s="118"/>
      <c r="DP2" s="118"/>
      <c r="DQ2" s="118"/>
      <c r="DR2" s="118" t="s">
        <v>25</v>
      </c>
      <c r="DS2" s="118"/>
      <c r="DT2" s="118"/>
      <c r="DU2" s="118"/>
      <c r="DV2" s="118"/>
      <c r="DW2" s="118" t="s">
        <v>26</v>
      </c>
      <c r="DX2" s="118"/>
      <c r="DY2" s="118"/>
      <c r="DZ2" s="118"/>
      <c r="EA2" s="118"/>
      <c r="EB2" s="118" t="s">
        <v>27</v>
      </c>
      <c r="EC2" s="118"/>
      <c r="ED2" s="118"/>
      <c r="EE2" s="118"/>
      <c r="EF2" s="118"/>
      <c r="EG2" s="118" t="s">
        <v>28</v>
      </c>
      <c r="EH2" s="118"/>
      <c r="EI2" s="118"/>
      <c r="EJ2" s="118"/>
      <c r="EK2" s="118"/>
      <c r="EL2" s="118" t="s">
        <v>29</v>
      </c>
      <c r="EM2" s="118"/>
      <c r="EN2" s="118"/>
      <c r="EO2" s="118"/>
      <c r="EP2" s="118"/>
      <c r="EQ2" s="118" t="s">
        <v>30</v>
      </c>
      <c r="ER2" s="118"/>
      <c r="ES2" s="118"/>
      <c r="ET2" s="118"/>
      <c r="EU2" s="118"/>
      <c r="EV2" s="118" t="s">
        <v>31</v>
      </c>
      <c r="EW2" s="118"/>
      <c r="EX2" s="118"/>
      <c r="EY2" s="118"/>
      <c r="EZ2" s="118"/>
      <c r="FA2" s="118" t="s">
        <v>32</v>
      </c>
      <c r="FB2" s="118"/>
      <c r="FC2" s="118"/>
      <c r="FD2" s="118"/>
      <c r="FE2" s="118"/>
      <c r="FF2" s="118" t="s">
        <v>33</v>
      </c>
      <c r="FG2" s="118"/>
      <c r="FH2" s="118"/>
      <c r="FI2" s="118"/>
      <c r="FJ2" s="118"/>
      <c r="FK2" s="118" t="s">
        <v>34</v>
      </c>
      <c r="FL2" s="118"/>
      <c r="FM2" s="118"/>
      <c r="FN2" s="118"/>
      <c r="FO2" s="118"/>
    </row>
    <row r="3" spans="1:171" x14ac:dyDescent="0.25">
      <c r="A3" s="114" t="s">
        <v>182</v>
      </c>
      <c r="B3" s="116" t="s">
        <v>176</v>
      </c>
      <c r="C3" s="114" t="s">
        <v>177</v>
      </c>
      <c r="D3" s="114"/>
      <c r="E3" s="114"/>
      <c r="F3" s="115" t="s">
        <v>178</v>
      </c>
      <c r="G3" s="114" t="s">
        <v>176</v>
      </c>
      <c r="H3" s="114" t="s">
        <v>177</v>
      </c>
      <c r="I3" s="114"/>
      <c r="J3" s="114"/>
      <c r="K3" s="115" t="s">
        <v>178</v>
      </c>
      <c r="L3" s="116" t="s">
        <v>176</v>
      </c>
      <c r="M3" s="114" t="s">
        <v>177</v>
      </c>
      <c r="N3" s="114"/>
      <c r="O3" s="114"/>
      <c r="P3" s="114" t="s">
        <v>178</v>
      </c>
      <c r="Q3" s="116" t="s">
        <v>176</v>
      </c>
      <c r="R3" s="114" t="s">
        <v>177</v>
      </c>
      <c r="S3" s="114"/>
      <c r="T3" s="114"/>
      <c r="U3" s="115" t="s">
        <v>178</v>
      </c>
      <c r="V3" s="116" t="s">
        <v>176</v>
      </c>
      <c r="W3" s="114" t="s">
        <v>177</v>
      </c>
      <c r="X3" s="114"/>
      <c r="Y3" s="114"/>
      <c r="Z3" s="115" t="s">
        <v>178</v>
      </c>
      <c r="AA3" s="116" t="s">
        <v>176</v>
      </c>
      <c r="AB3" s="114" t="s">
        <v>177</v>
      </c>
      <c r="AC3" s="114"/>
      <c r="AD3" s="114"/>
      <c r="AE3" s="115" t="s">
        <v>178</v>
      </c>
      <c r="AF3" s="116" t="s">
        <v>176</v>
      </c>
      <c r="AG3" s="114" t="s">
        <v>177</v>
      </c>
      <c r="AH3" s="114"/>
      <c r="AI3" s="114"/>
      <c r="AJ3" s="115" t="s">
        <v>178</v>
      </c>
      <c r="AK3" s="114" t="s">
        <v>176</v>
      </c>
      <c r="AL3" s="114" t="s">
        <v>177</v>
      </c>
      <c r="AM3" s="114"/>
      <c r="AN3" s="114"/>
      <c r="AO3" s="115" t="s">
        <v>178</v>
      </c>
      <c r="AP3" s="116" t="s">
        <v>176</v>
      </c>
      <c r="AQ3" s="114" t="s">
        <v>177</v>
      </c>
      <c r="AR3" s="114"/>
      <c r="AS3" s="114"/>
      <c r="AT3" s="115" t="s">
        <v>178</v>
      </c>
      <c r="AU3" s="116" t="s">
        <v>176</v>
      </c>
      <c r="AV3" s="114" t="s">
        <v>177</v>
      </c>
      <c r="AW3" s="114"/>
      <c r="AX3" s="114"/>
      <c r="AY3" s="115" t="s">
        <v>178</v>
      </c>
      <c r="AZ3" s="116" t="s">
        <v>176</v>
      </c>
      <c r="BA3" s="114" t="s">
        <v>177</v>
      </c>
      <c r="BB3" s="114"/>
      <c r="BC3" s="114"/>
      <c r="BD3" s="115" t="s">
        <v>178</v>
      </c>
      <c r="BE3" s="116" t="s">
        <v>176</v>
      </c>
      <c r="BF3" s="114" t="s">
        <v>177</v>
      </c>
      <c r="BG3" s="114"/>
      <c r="BH3" s="114"/>
      <c r="BI3" s="115" t="s">
        <v>178</v>
      </c>
      <c r="BJ3" s="116" t="s">
        <v>176</v>
      </c>
      <c r="BK3" s="114" t="s">
        <v>177</v>
      </c>
      <c r="BL3" s="114"/>
      <c r="BM3" s="114"/>
      <c r="BN3" s="115" t="s">
        <v>178</v>
      </c>
      <c r="BO3" s="116" t="s">
        <v>176</v>
      </c>
      <c r="BP3" s="114" t="s">
        <v>177</v>
      </c>
      <c r="BQ3" s="114"/>
      <c r="BR3" s="114"/>
      <c r="BS3" s="115" t="s">
        <v>178</v>
      </c>
      <c r="BT3" s="114" t="s">
        <v>176</v>
      </c>
      <c r="BU3" s="114" t="s">
        <v>177</v>
      </c>
      <c r="BV3" s="114"/>
      <c r="BW3" s="114"/>
      <c r="BX3" s="115" t="s">
        <v>178</v>
      </c>
      <c r="BY3" s="116" t="s">
        <v>176</v>
      </c>
      <c r="BZ3" s="114" t="s">
        <v>177</v>
      </c>
      <c r="CA3" s="114"/>
      <c r="CB3" s="114"/>
      <c r="CC3" s="115" t="s">
        <v>178</v>
      </c>
      <c r="CD3" s="116" t="s">
        <v>176</v>
      </c>
      <c r="CE3" s="114" t="s">
        <v>177</v>
      </c>
      <c r="CF3" s="114"/>
      <c r="CG3" s="114"/>
      <c r="CH3" s="115" t="s">
        <v>178</v>
      </c>
      <c r="CI3" s="114" t="s">
        <v>176</v>
      </c>
      <c r="CJ3" s="114" t="s">
        <v>177</v>
      </c>
      <c r="CK3" s="114"/>
      <c r="CL3" s="114"/>
      <c r="CM3" s="115" t="s">
        <v>178</v>
      </c>
      <c r="CN3" s="116" t="s">
        <v>176</v>
      </c>
      <c r="CO3" s="114" t="s">
        <v>177</v>
      </c>
      <c r="CP3" s="114"/>
      <c r="CQ3" s="114"/>
      <c r="CR3" s="115" t="s">
        <v>178</v>
      </c>
      <c r="CS3" s="116" t="s">
        <v>176</v>
      </c>
      <c r="CT3" s="114" t="s">
        <v>177</v>
      </c>
      <c r="CU3" s="114"/>
      <c r="CV3" s="114"/>
      <c r="CW3" s="115" t="s">
        <v>178</v>
      </c>
      <c r="CX3" s="114" t="s">
        <v>176</v>
      </c>
      <c r="CY3" s="114" t="s">
        <v>177</v>
      </c>
      <c r="CZ3" s="114"/>
      <c r="DA3" s="114"/>
      <c r="DB3" s="117" t="s">
        <v>178</v>
      </c>
      <c r="DC3" s="116" t="s">
        <v>176</v>
      </c>
      <c r="DD3" s="114" t="s">
        <v>177</v>
      </c>
      <c r="DE3" s="114"/>
      <c r="DF3" s="114"/>
      <c r="DG3" s="115" t="s">
        <v>178</v>
      </c>
      <c r="DH3" s="114" t="s">
        <v>176</v>
      </c>
      <c r="DI3" s="114" t="s">
        <v>177</v>
      </c>
      <c r="DJ3" s="114"/>
      <c r="DK3" s="114"/>
      <c r="DL3" s="117" t="s">
        <v>178</v>
      </c>
      <c r="DM3" s="116" t="s">
        <v>176</v>
      </c>
      <c r="DN3" s="114" t="s">
        <v>177</v>
      </c>
      <c r="DO3" s="114"/>
      <c r="DP3" s="114"/>
      <c r="DQ3" s="117" t="s">
        <v>178</v>
      </c>
      <c r="DR3" s="116" t="s">
        <v>176</v>
      </c>
      <c r="DS3" s="114" t="s">
        <v>177</v>
      </c>
      <c r="DT3" s="114"/>
      <c r="DU3" s="114"/>
      <c r="DV3" s="115" t="s">
        <v>178</v>
      </c>
      <c r="DW3" s="116" t="s">
        <v>176</v>
      </c>
      <c r="DX3" s="114" t="s">
        <v>177</v>
      </c>
      <c r="DY3" s="114"/>
      <c r="DZ3" s="114"/>
      <c r="EA3" s="115" t="s">
        <v>178</v>
      </c>
      <c r="EB3" s="116" t="s">
        <v>176</v>
      </c>
      <c r="EC3" s="114" t="s">
        <v>177</v>
      </c>
      <c r="ED3" s="114"/>
      <c r="EE3" s="114"/>
      <c r="EF3" s="117" t="s">
        <v>178</v>
      </c>
      <c r="EG3" s="116" t="s">
        <v>176</v>
      </c>
      <c r="EH3" s="114" t="s">
        <v>177</v>
      </c>
      <c r="EI3" s="114"/>
      <c r="EJ3" s="114"/>
      <c r="EK3" s="115" t="s">
        <v>178</v>
      </c>
      <c r="EL3" s="116" t="s">
        <v>176</v>
      </c>
      <c r="EM3" s="114" t="s">
        <v>177</v>
      </c>
      <c r="EN3" s="114"/>
      <c r="EO3" s="114"/>
      <c r="EP3" s="117" t="s">
        <v>178</v>
      </c>
      <c r="EQ3" s="116" t="s">
        <v>176</v>
      </c>
      <c r="ER3" s="114" t="s">
        <v>177</v>
      </c>
      <c r="ES3" s="114"/>
      <c r="ET3" s="114"/>
      <c r="EU3" s="115" t="s">
        <v>178</v>
      </c>
      <c r="EV3" s="114" t="s">
        <v>176</v>
      </c>
      <c r="EW3" s="114" t="s">
        <v>177</v>
      </c>
      <c r="EX3" s="114"/>
      <c r="EY3" s="114"/>
      <c r="EZ3" s="115" t="s">
        <v>178</v>
      </c>
      <c r="FA3" s="116" t="s">
        <v>176</v>
      </c>
      <c r="FB3" s="114" t="s">
        <v>177</v>
      </c>
      <c r="FC3" s="114"/>
      <c r="FD3" s="114"/>
      <c r="FE3" s="115" t="s">
        <v>178</v>
      </c>
      <c r="FF3" s="116" t="s">
        <v>176</v>
      </c>
      <c r="FG3" s="114" t="s">
        <v>177</v>
      </c>
      <c r="FH3" s="114"/>
      <c r="FI3" s="114"/>
      <c r="FJ3" s="115" t="s">
        <v>178</v>
      </c>
      <c r="FK3" s="114" t="s">
        <v>176</v>
      </c>
      <c r="FL3" s="114" t="s">
        <v>177</v>
      </c>
      <c r="FM3" s="114"/>
      <c r="FN3" s="114"/>
      <c r="FO3" s="115" t="s">
        <v>178</v>
      </c>
    </row>
    <row r="4" spans="1:171" ht="30" x14ac:dyDescent="0.25">
      <c r="A4" s="114"/>
      <c r="B4" s="116"/>
      <c r="C4" s="24" t="s">
        <v>179</v>
      </c>
      <c r="D4" s="24" t="s">
        <v>180</v>
      </c>
      <c r="E4" s="24" t="s">
        <v>181</v>
      </c>
      <c r="F4" s="115"/>
      <c r="G4" s="114"/>
      <c r="H4" s="24" t="s">
        <v>179</v>
      </c>
      <c r="I4" s="24" t="s">
        <v>180</v>
      </c>
      <c r="J4" s="24" t="s">
        <v>181</v>
      </c>
      <c r="K4" s="115"/>
      <c r="L4" s="116"/>
      <c r="M4" s="24" t="s">
        <v>179</v>
      </c>
      <c r="N4" s="24" t="s">
        <v>180</v>
      </c>
      <c r="O4" s="24" t="s">
        <v>181</v>
      </c>
      <c r="P4" s="114"/>
      <c r="Q4" s="116"/>
      <c r="R4" s="24" t="s">
        <v>179</v>
      </c>
      <c r="S4" s="24" t="s">
        <v>180</v>
      </c>
      <c r="T4" s="24" t="s">
        <v>181</v>
      </c>
      <c r="U4" s="115"/>
      <c r="V4" s="116"/>
      <c r="W4" s="24" t="s">
        <v>179</v>
      </c>
      <c r="X4" s="24" t="s">
        <v>180</v>
      </c>
      <c r="Y4" s="24" t="s">
        <v>181</v>
      </c>
      <c r="Z4" s="115"/>
      <c r="AA4" s="116"/>
      <c r="AB4" s="24" t="s">
        <v>179</v>
      </c>
      <c r="AC4" s="24" t="s">
        <v>180</v>
      </c>
      <c r="AD4" s="24" t="s">
        <v>181</v>
      </c>
      <c r="AE4" s="115"/>
      <c r="AF4" s="116"/>
      <c r="AG4" s="24" t="s">
        <v>179</v>
      </c>
      <c r="AH4" s="24" t="s">
        <v>180</v>
      </c>
      <c r="AI4" s="24" t="s">
        <v>181</v>
      </c>
      <c r="AJ4" s="115"/>
      <c r="AK4" s="114"/>
      <c r="AL4" s="24" t="s">
        <v>179</v>
      </c>
      <c r="AM4" s="24" t="s">
        <v>180</v>
      </c>
      <c r="AN4" s="24" t="s">
        <v>181</v>
      </c>
      <c r="AO4" s="115"/>
      <c r="AP4" s="116"/>
      <c r="AQ4" s="24" t="s">
        <v>179</v>
      </c>
      <c r="AR4" s="24" t="s">
        <v>180</v>
      </c>
      <c r="AS4" s="24" t="s">
        <v>181</v>
      </c>
      <c r="AT4" s="115"/>
      <c r="AU4" s="116"/>
      <c r="AV4" s="24" t="s">
        <v>179</v>
      </c>
      <c r="AW4" s="24" t="s">
        <v>180</v>
      </c>
      <c r="AX4" s="24" t="s">
        <v>181</v>
      </c>
      <c r="AY4" s="115"/>
      <c r="AZ4" s="116"/>
      <c r="BA4" s="24" t="s">
        <v>179</v>
      </c>
      <c r="BB4" s="24" t="s">
        <v>180</v>
      </c>
      <c r="BC4" s="24" t="s">
        <v>181</v>
      </c>
      <c r="BD4" s="115"/>
      <c r="BE4" s="116"/>
      <c r="BF4" s="24" t="s">
        <v>179</v>
      </c>
      <c r="BG4" s="24" t="s">
        <v>180</v>
      </c>
      <c r="BH4" s="24" t="s">
        <v>181</v>
      </c>
      <c r="BI4" s="115"/>
      <c r="BJ4" s="116"/>
      <c r="BK4" s="24" t="s">
        <v>179</v>
      </c>
      <c r="BL4" s="24" t="s">
        <v>180</v>
      </c>
      <c r="BM4" s="24" t="s">
        <v>181</v>
      </c>
      <c r="BN4" s="115"/>
      <c r="BO4" s="116"/>
      <c r="BP4" s="24" t="s">
        <v>179</v>
      </c>
      <c r="BQ4" s="24" t="s">
        <v>180</v>
      </c>
      <c r="BR4" s="24" t="s">
        <v>181</v>
      </c>
      <c r="BS4" s="115"/>
      <c r="BT4" s="114"/>
      <c r="BU4" s="24" t="s">
        <v>179</v>
      </c>
      <c r="BV4" s="24" t="s">
        <v>180</v>
      </c>
      <c r="BW4" s="24" t="s">
        <v>181</v>
      </c>
      <c r="BX4" s="115"/>
      <c r="BY4" s="116"/>
      <c r="BZ4" s="24" t="s">
        <v>179</v>
      </c>
      <c r="CA4" s="24" t="s">
        <v>180</v>
      </c>
      <c r="CB4" s="24" t="s">
        <v>181</v>
      </c>
      <c r="CC4" s="115"/>
      <c r="CD4" s="116"/>
      <c r="CE4" s="24" t="s">
        <v>179</v>
      </c>
      <c r="CF4" s="24" t="s">
        <v>180</v>
      </c>
      <c r="CG4" s="24" t="s">
        <v>181</v>
      </c>
      <c r="CH4" s="115"/>
      <c r="CI4" s="114"/>
      <c r="CJ4" s="24" t="s">
        <v>179</v>
      </c>
      <c r="CK4" s="24" t="s">
        <v>180</v>
      </c>
      <c r="CL4" s="24" t="s">
        <v>181</v>
      </c>
      <c r="CM4" s="115"/>
      <c r="CN4" s="116"/>
      <c r="CO4" s="24" t="s">
        <v>179</v>
      </c>
      <c r="CP4" s="24" t="s">
        <v>180</v>
      </c>
      <c r="CQ4" s="24" t="s">
        <v>181</v>
      </c>
      <c r="CR4" s="115"/>
      <c r="CS4" s="116"/>
      <c r="CT4" s="24" t="s">
        <v>179</v>
      </c>
      <c r="CU4" s="24" t="s">
        <v>180</v>
      </c>
      <c r="CV4" s="24" t="s">
        <v>181</v>
      </c>
      <c r="CW4" s="115"/>
      <c r="CX4" s="114"/>
      <c r="CY4" s="24" t="s">
        <v>179</v>
      </c>
      <c r="CZ4" s="24" t="s">
        <v>180</v>
      </c>
      <c r="DA4" s="24" t="s">
        <v>181</v>
      </c>
      <c r="DB4" s="117"/>
      <c r="DC4" s="116"/>
      <c r="DD4" s="24" t="s">
        <v>179</v>
      </c>
      <c r="DE4" s="24" t="s">
        <v>180</v>
      </c>
      <c r="DF4" s="24" t="s">
        <v>181</v>
      </c>
      <c r="DG4" s="115"/>
      <c r="DH4" s="114"/>
      <c r="DI4" s="24" t="s">
        <v>179</v>
      </c>
      <c r="DJ4" s="24" t="s">
        <v>180</v>
      </c>
      <c r="DK4" s="24" t="s">
        <v>181</v>
      </c>
      <c r="DL4" s="117"/>
      <c r="DM4" s="116"/>
      <c r="DN4" s="24" t="s">
        <v>179</v>
      </c>
      <c r="DO4" s="24" t="s">
        <v>180</v>
      </c>
      <c r="DP4" s="24" t="s">
        <v>181</v>
      </c>
      <c r="DQ4" s="117"/>
      <c r="DR4" s="116"/>
      <c r="DS4" s="24" t="s">
        <v>179</v>
      </c>
      <c r="DT4" s="24" t="s">
        <v>180</v>
      </c>
      <c r="DU4" s="24" t="s">
        <v>181</v>
      </c>
      <c r="DV4" s="115"/>
      <c r="DW4" s="116"/>
      <c r="DX4" s="24" t="s">
        <v>179</v>
      </c>
      <c r="DY4" s="24" t="s">
        <v>180</v>
      </c>
      <c r="DZ4" s="24" t="s">
        <v>181</v>
      </c>
      <c r="EA4" s="115"/>
      <c r="EB4" s="116"/>
      <c r="EC4" s="24" t="s">
        <v>179</v>
      </c>
      <c r="ED4" s="24" t="s">
        <v>180</v>
      </c>
      <c r="EE4" s="24" t="s">
        <v>181</v>
      </c>
      <c r="EF4" s="117"/>
      <c r="EG4" s="116"/>
      <c r="EH4" s="24" t="s">
        <v>179</v>
      </c>
      <c r="EI4" s="24" t="s">
        <v>180</v>
      </c>
      <c r="EJ4" s="24" t="s">
        <v>181</v>
      </c>
      <c r="EK4" s="115"/>
      <c r="EL4" s="116"/>
      <c r="EM4" s="24" t="s">
        <v>179</v>
      </c>
      <c r="EN4" s="24" t="s">
        <v>180</v>
      </c>
      <c r="EO4" s="24" t="s">
        <v>181</v>
      </c>
      <c r="EP4" s="117"/>
      <c r="EQ4" s="116"/>
      <c r="ER4" s="24" t="s">
        <v>179</v>
      </c>
      <c r="ES4" s="24" t="s">
        <v>180</v>
      </c>
      <c r="ET4" s="24" t="s">
        <v>181</v>
      </c>
      <c r="EU4" s="115"/>
      <c r="EV4" s="114"/>
      <c r="EW4" s="24" t="s">
        <v>179</v>
      </c>
      <c r="EX4" s="24" t="s">
        <v>180</v>
      </c>
      <c r="EY4" s="24" t="s">
        <v>181</v>
      </c>
      <c r="EZ4" s="115"/>
      <c r="FA4" s="116"/>
      <c r="FB4" s="24" t="s">
        <v>179</v>
      </c>
      <c r="FC4" s="24" t="s">
        <v>180</v>
      </c>
      <c r="FD4" s="24" t="s">
        <v>181</v>
      </c>
      <c r="FE4" s="115"/>
      <c r="FF4" s="116"/>
      <c r="FG4" s="24" t="s">
        <v>179</v>
      </c>
      <c r="FH4" s="24" t="s">
        <v>180</v>
      </c>
      <c r="FI4" s="24" t="s">
        <v>181</v>
      </c>
      <c r="FJ4" s="115"/>
      <c r="FK4" s="114"/>
      <c r="FL4" s="90" t="s">
        <v>179</v>
      </c>
      <c r="FM4" s="24" t="s">
        <v>180</v>
      </c>
      <c r="FN4" s="24" t="s">
        <v>181</v>
      </c>
      <c r="FO4" s="115"/>
    </row>
    <row r="5" spans="1:171" x14ac:dyDescent="0.25">
      <c r="A5" s="25" t="s">
        <v>183</v>
      </c>
      <c r="B5" s="11"/>
      <c r="C5" s="25"/>
      <c r="D5" s="25"/>
      <c r="E5" s="25"/>
      <c r="F5" s="52"/>
      <c r="G5" s="25"/>
      <c r="H5" s="25"/>
      <c r="I5" s="25"/>
      <c r="J5" s="25"/>
      <c r="K5" s="52"/>
      <c r="L5" s="11"/>
      <c r="M5" s="25"/>
      <c r="N5" s="25"/>
      <c r="O5" s="25"/>
      <c r="P5" s="25"/>
      <c r="Q5" s="11"/>
      <c r="R5" s="25"/>
      <c r="S5" s="25"/>
      <c r="T5" s="25"/>
      <c r="U5" s="52"/>
      <c r="V5" s="11"/>
      <c r="W5" s="25"/>
      <c r="X5" s="25"/>
      <c r="Y5" s="25"/>
      <c r="Z5" s="52"/>
      <c r="AA5" s="11"/>
      <c r="AB5" s="25"/>
      <c r="AC5" s="25"/>
      <c r="AD5" s="25"/>
      <c r="AE5" s="52"/>
      <c r="AF5" s="11"/>
      <c r="AG5" s="25"/>
      <c r="AH5" s="25"/>
      <c r="AI5" s="25"/>
      <c r="AJ5" s="52"/>
      <c r="AK5" s="11">
        <v>1</v>
      </c>
      <c r="AL5" s="25">
        <v>634.03</v>
      </c>
      <c r="AM5" s="25">
        <v>20.61</v>
      </c>
      <c r="AN5" s="25"/>
      <c r="AO5" s="52">
        <v>1.0034000000000001</v>
      </c>
      <c r="AP5" s="11"/>
      <c r="AQ5" s="25"/>
      <c r="AR5" s="25"/>
      <c r="AS5" s="25"/>
      <c r="AT5" s="52"/>
      <c r="AU5" s="11"/>
      <c r="AV5" s="25"/>
      <c r="AW5" s="25"/>
      <c r="AX5" s="25"/>
      <c r="AY5" s="52"/>
      <c r="AZ5" s="11"/>
      <c r="BA5" s="25"/>
      <c r="BB5" s="25"/>
      <c r="BC5" s="25"/>
      <c r="BD5" s="52"/>
      <c r="BE5" s="11">
        <v>1</v>
      </c>
      <c r="BF5" s="25">
        <v>1876</v>
      </c>
      <c r="BG5" s="25"/>
      <c r="BH5" s="25">
        <v>59</v>
      </c>
      <c r="BI5" s="52">
        <v>1.3100000000000001E-2</v>
      </c>
      <c r="BJ5" s="11">
        <v>1</v>
      </c>
      <c r="BK5" s="25"/>
      <c r="BL5" s="25"/>
      <c r="BM5" s="25">
        <v>9</v>
      </c>
      <c r="BN5" s="52">
        <v>2.9999999999999997E-4</v>
      </c>
      <c r="BO5" s="11"/>
      <c r="BP5" s="25"/>
      <c r="BQ5" s="25"/>
      <c r="BR5" s="25"/>
      <c r="BS5" s="52"/>
      <c r="BT5" s="25"/>
      <c r="BU5" s="25"/>
      <c r="BV5" s="25"/>
      <c r="BW5" s="25"/>
      <c r="BX5" s="52"/>
      <c r="BY5" s="11"/>
      <c r="BZ5" s="25"/>
      <c r="CA5" s="25"/>
      <c r="CB5" s="25"/>
      <c r="CC5" s="52"/>
      <c r="CD5" s="11"/>
      <c r="CE5" s="25"/>
      <c r="CF5" s="25"/>
      <c r="CG5" s="25"/>
      <c r="CH5" s="52"/>
      <c r="CI5" s="25"/>
      <c r="CJ5" s="25"/>
      <c r="CK5" s="25"/>
      <c r="CL5" s="25"/>
      <c r="CM5" s="52"/>
      <c r="CN5" s="11"/>
      <c r="CO5" s="25"/>
      <c r="CP5" s="25"/>
      <c r="CQ5" s="25"/>
      <c r="CR5" s="52"/>
      <c r="CS5" s="11"/>
      <c r="CT5" s="25"/>
      <c r="CU5" s="25"/>
      <c r="CV5" s="25"/>
      <c r="CW5" s="52"/>
      <c r="CX5" s="25"/>
      <c r="CY5" s="25"/>
      <c r="CZ5" s="25"/>
      <c r="DA5" s="25"/>
      <c r="DB5" s="25"/>
      <c r="DC5" s="11"/>
      <c r="DD5" s="25"/>
      <c r="DE5" s="25"/>
      <c r="DF5" s="25"/>
      <c r="DG5" s="52"/>
      <c r="DH5" s="25"/>
      <c r="DI5" s="25"/>
      <c r="DJ5" s="25"/>
      <c r="DK5" s="25"/>
      <c r="DL5" s="52"/>
      <c r="DM5" s="11"/>
      <c r="DN5" s="25"/>
      <c r="DO5" s="25"/>
      <c r="DP5" s="25"/>
      <c r="DQ5" s="25"/>
      <c r="DR5" s="11"/>
      <c r="DS5" s="25"/>
      <c r="DT5" s="25"/>
      <c r="DU5" s="25"/>
      <c r="DV5" s="52"/>
      <c r="DW5" s="85">
        <v>2</v>
      </c>
      <c r="DX5" s="53">
        <v>215</v>
      </c>
      <c r="DY5" s="52"/>
      <c r="DZ5" s="52"/>
      <c r="EA5" s="52">
        <v>1</v>
      </c>
      <c r="EB5" s="11"/>
      <c r="EC5" s="25"/>
      <c r="ED5" s="25"/>
      <c r="EE5" s="25"/>
      <c r="EF5" s="25"/>
      <c r="EG5" s="11"/>
      <c r="EH5" s="25"/>
      <c r="EI5" s="25"/>
      <c r="EJ5" s="25"/>
      <c r="EK5" s="52"/>
      <c r="EL5" s="11"/>
      <c r="EM5" s="25"/>
      <c r="EN5" s="25"/>
      <c r="EO5" s="25"/>
      <c r="EP5" s="25"/>
      <c r="EQ5" s="11"/>
      <c r="ER5" s="25"/>
      <c r="ES5" s="25"/>
      <c r="ET5" s="25"/>
      <c r="EU5" s="52"/>
      <c r="EV5" s="25"/>
      <c r="EW5" s="25"/>
      <c r="EX5" s="25"/>
      <c r="EY5" s="25"/>
      <c r="EZ5" s="52"/>
      <c r="FA5" s="11"/>
      <c r="FB5" s="25"/>
      <c r="FC5" s="25"/>
      <c r="FD5" s="25"/>
      <c r="FE5" s="52"/>
      <c r="FF5" s="11"/>
      <c r="FG5" s="25"/>
      <c r="FH5" s="25"/>
      <c r="FI5" s="25"/>
      <c r="FJ5" s="52"/>
      <c r="FK5" s="25"/>
      <c r="FL5" s="11"/>
      <c r="FM5" s="25"/>
      <c r="FN5" s="25"/>
      <c r="FO5" s="52"/>
    </row>
    <row r="6" spans="1:171" x14ac:dyDescent="0.25">
      <c r="A6" s="25" t="s">
        <v>184</v>
      </c>
      <c r="B6" s="11">
        <v>2</v>
      </c>
      <c r="C6" s="25">
        <v>7825.29</v>
      </c>
      <c r="D6" s="25">
        <v>108</v>
      </c>
      <c r="E6" s="25"/>
      <c r="F6" s="52">
        <v>0.95630000000000004</v>
      </c>
      <c r="G6" s="25"/>
      <c r="H6" s="25"/>
      <c r="I6" s="25"/>
      <c r="J6" s="25"/>
      <c r="K6" s="52"/>
      <c r="L6" s="11">
        <v>7</v>
      </c>
      <c r="M6" s="25">
        <v>73290.23</v>
      </c>
      <c r="N6" s="25">
        <v>3296.72</v>
      </c>
      <c r="O6" s="52">
        <v>0.15479999999999999</v>
      </c>
      <c r="P6" s="25"/>
      <c r="Q6" s="11"/>
      <c r="R6" s="25"/>
      <c r="S6" s="25"/>
      <c r="T6" s="25"/>
      <c r="U6" s="52"/>
      <c r="V6" s="11">
        <v>36</v>
      </c>
      <c r="W6" s="25">
        <v>55287</v>
      </c>
      <c r="X6" s="25">
        <v>-754</v>
      </c>
      <c r="Y6" s="25">
        <v>14282</v>
      </c>
      <c r="Z6" s="52">
        <v>0.33910000000000001</v>
      </c>
      <c r="AA6" s="11">
        <v>2</v>
      </c>
      <c r="AB6" s="25">
        <v>1223.6775500000001</v>
      </c>
      <c r="AC6" s="25"/>
      <c r="AD6" s="25"/>
      <c r="AE6" s="52">
        <v>1.95E-2</v>
      </c>
      <c r="AF6" s="11">
        <v>4</v>
      </c>
      <c r="AG6" s="25">
        <v>341.74</v>
      </c>
      <c r="AH6" s="25">
        <v>43.44</v>
      </c>
      <c r="AI6" s="25"/>
      <c r="AJ6" s="52">
        <v>6.7100000000000007E-2</v>
      </c>
      <c r="AK6" s="11"/>
      <c r="AL6" s="25"/>
      <c r="AM6" s="25"/>
      <c r="AN6" s="25"/>
      <c r="AO6" s="52"/>
      <c r="AP6" s="11"/>
      <c r="AQ6" s="25"/>
      <c r="AR6" s="25"/>
      <c r="AS6" s="25"/>
      <c r="AT6" s="52"/>
      <c r="AU6" s="11">
        <v>3</v>
      </c>
      <c r="AV6" s="25">
        <v>552.66999999999996</v>
      </c>
      <c r="AW6" s="25"/>
      <c r="AX6" s="25">
        <v>3.23</v>
      </c>
      <c r="AY6" s="52">
        <v>0.54620000000000002</v>
      </c>
      <c r="AZ6" s="11"/>
      <c r="BA6" s="25"/>
      <c r="BB6" s="25"/>
      <c r="BC6" s="25"/>
      <c r="BD6" s="52"/>
      <c r="BE6" s="11">
        <v>12</v>
      </c>
      <c r="BF6" s="25">
        <v>671</v>
      </c>
      <c r="BG6" s="25">
        <v>371</v>
      </c>
      <c r="BH6" s="25">
        <v>14</v>
      </c>
      <c r="BI6" s="52">
        <v>4.4200000000000003E-2</v>
      </c>
      <c r="BJ6" s="11">
        <v>6</v>
      </c>
      <c r="BK6" s="25">
        <v>7538</v>
      </c>
      <c r="BL6" s="25">
        <v>72</v>
      </c>
      <c r="BM6" s="25">
        <v>119</v>
      </c>
      <c r="BN6" s="52">
        <v>0.23</v>
      </c>
      <c r="BO6" s="11">
        <v>33</v>
      </c>
      <c r="BP6" s="25">
        <v>112062</v>
      </c>
      <c r="BQ6" s="25">
        <v>4238</v>
      </c>
      <c r="BR6" s="25">
        <v>3869</v>
      </c>
      <c r="BS6" s="52">
        <v>0.42199999999999999</v>
      </c>
      <c r="BT6" s="25">
        <v>41</v>
      </c>
      <c r="BU6" s="25">
        <v>29199</v>
      </c>
      <c r="BV6" s="25">
        <v>1946</v>
      </c>
      <c r="BW6" s="25">
        <v>8342</v>
      </c>
      <c r="BX6" s="52">
        <v>0.19359999999999999</v>
      </c>
      <c r="BY6" s="11">
        <v>9</v>
      </c>
      <c r="BZ6" s="25">
        <v>11030</v>
      </c>
      <c r="CA6" s="25">
        <v>206</v>
      </c>
      <c r="CB6" s="25">
        <v>388</v>
      </c>
      <c r="CC6" s="52">
        <v>0.06</v>
      </c>
      <c r="CD6" s="11"/>
      <c r="CE6" s="25"/>
      <c r="CF6" s="25"/>
      <c r="CG6" s="25"/>
      <c r="CH6" s="52"/>
      <c r="CI6" s="11">
        <v>2</v>
      </c>
      <c r="CJ6" s="25"/>
      <c r="CK6" s="25"/>
      <c r="CL6" s="25"/>
      <c r="CM6" s="52"/>
      <c r="CN6" s="11">
        <v>7</v>
      </c>
      <c r="CO6" s="25">
        <v>8585</v>
      </c>
      <c r="CP6" s="25">
        <v>100</v>
      </c>
      <c r="CQ6" s="25"/>
      <c r="CR6" s="52">
        <v>0.38129999999999997</v>
      </c>
      <c r="CS6" s="11">
        <v>1</v>
      </c>
      <c r="CT6" s="25">
        <v>437</v>
      </c>
      <c r="CU6" s="25"/>
      <c r="CV6" s="25"/>
      <c r="CW6" s="52">
        <v>0.04</v>
      </c>
      <c r="CX6" s="25"/>
      <c r="CY6" s="25"/>
      <c r="CZ6" s="25">
        <v>36.21</v>
      </c>
      <c r="DA6" s="25"/>
      <c r="DB6" s="52">
        <v>1E-4</v>
      </c>
      <c r="DC6" s="11">
        <v>32</v>
      </c>
      <c r="DD6" s="25">
        <v>4087</v>
      </c>
      <c r="DE6" s="25">
        <v>1368</v>
      </c>
      <c r="DF6" s="25">
        <v>1312</v>
      </c>
      <c r="DG6" s="52">
        <v>3.2199999999999999E-2</v>
      </c>
      <c r="DH6" s="25"/>
      <c r="DI6" s="25">
        <v>4606</v>
      </c>
      <c r="DJ6" s="25">
        <v>1069</v>
      </c>
      <c r="DK6" s="25">
        <v>217</v>
      </c>
      <c r="DL6" s="52">
        <v>3.1899999999999998E-2</v>
      </c>
      <c r="DM6" s="11">
        <v>3</v>
      </c>
      <c r="DN6" s="25"/>
      <c r="DO6" s="25">
        <v>210.37</v>
      </c>
      <c r="DP6" s="25">
        <v>-1.9</v>
      </c>
      <c r="DQ6" s="87">
        <v>0.13170000000000001</v>
      </c>
      <c r="DR6" s="11">
        <v>26</v>
      </c>
      <c r="DS6" s="25">
        <v>5710.94</v>
      </c>
      <c r="DT6" s="25">
        <v>237.02</v>
      </c>
      <c r="DU6" s="25">
        <v>343.03</v>
      </c>
      <c r="DV6" s="52">
        <v>2.8500000000000001E-2</v>
      </c>
      <c r="DW6" s="85"/>
      <c r="DX6" s="52"/>
      <c r="DY6" s="52"/>
      <c r="DZ6" s="52"/>
      <c r="EA6" s="52"/>
      <c r="EB6" s="11"/>
      <c r="EC6" s="25"/>
      <c r="ED6" s="25"/>
      <c r="EE6" s="25"/>
      <c r="EF6" s="25"/>
      <c r="EG6" s="11">
        <v>1</v>
      </c>
      <c r="EH6" s="25"/>
      <c r="EI6" s="25"/>
      <c r="EJ6" s="25">
        <v>1026</v>
      </c>
      <c r="EK6" s="52"/>
      <c r="EL6" s="11">
        <v>6</v>
      </c>
      <c r="EM6" s="25">
        <v>4894</v>
      </c>
      <c r="EN6" s="25">
        <v>41</v>
      </c>
      <c r="EO6" s="25">
        <v>153</v>
      </c>
      <c r="EP6" s="52">
        <v>3.1399999999999997E-2</v>
      </c>
      <c r="EQ6" s="11">
        <v>1</v>
      </c>
      <c r="ER6" s="25">
        <v>2.69</v>
      </c>
      <c r="ES6" s="25"/>
      <c r="ET6" s="25"/>
      <c r="EU6" s="52">
        <v>6.9999999999999999E-4</v>
      </c>
      <c r="EV6" s="25"/>
      <c r="EW6" s="25"/>
      <c r="EX6" s="25"/>
      <c r="EY6" s="25"/>
      <c r="EZ6" s="52"/>
      <c r="FA6" s="11">
        <v>50</v>
      </c>
      <c r="FB6" s="25">
        <v>52711</v>
      </c>
      <c r="FC6" s="25">
        <v>2523</v>
      </c>
      <c r="FD6" s="25">
        <v>4247</v>
      </c>
      <c r="FE6" s="52">
        <v>0.33660000000000001</v>
      </c>
      <c r="FF6" s="11">
        <v>13</v>
      </c>
      <c r="FG6" s="25">
        <v>0.18</v>
      </c>
      <c r="FH6" s="25">
        <v>0.06</v>
      </c>
      <c r="FI6" s="25">
        <v>4.96</v>
      </c>
      <c r="FJ6" s="52">
        <v>2.8999999999999998E-3</v>
      </c>
      <c r="FK6" s="11">
        <v>29</v>
      </c>
      <c r="FL6" s="25">
        <v>6872</v>
      </c>
      <c r="FM6" s="25">
        <v>1354</v>
      </c>
      <c r="FN6" s="25">
        <v>5891</v>
      </c>
      <c r="FO6" s="52">
        <v>0.21779999999999999</v>
      </c>
    </row>
    <row r="7" spans="1:171" x14ac:dyDescent="0.25">
      <c r="A7" s="25" t="s">
        <v>185</v>
      </c>
      <c r="B7" s="11">
        <v>1</v>
      </c>
      <c r="C7" s="25">
        <v>362.96</v>
      </c>
      <c r="D7" s="25"/>
      <c r="E7" s="25"/>
      <c r="F7" s="52">
        <v>4.3700000000000003E-2</v>
      </c>
      <c r="G7" s="11">
        <v>1</v>
      </c>
      <c r="H7" s="25">
        <v>26.91</v>
      </c>
      <c r="I7" s="25"/>
      <c r="J7" s="25"/>
      <c r="K7" s="52">
        <v>1</v>
      </c>
      <c r="L7" s="11">
        <v>48</v>
      </c>
      <c r="M7" s="25">
        <v>405107.08</v>
      </c>
      <c r="N7" s="25">
        <v>13206.29</v>
      </c>
      <c r="O7" s="52">
        <v>0.84530000000000005</v>
      </c>
      <c r="P7" s="25"/>
      <c r="Q7" s="11">
        <v>3</v>
      </c>
      <c r="R7" s="25">
        <v>17805</v>
      </c>
      <c r="S7" s="25">
        <v>73</v>
      </c>
      <c r="T7" s="25"/>
      <c r="U7" s="52">
        <v>0.75</v>
      </c>
      <c r="V7" s="11">
        <v>188</v>
      </c>
      <c r="W7" s="25">
        <v>121384</v>
      </c>
      <c r="X7" s="25">
        <v>5557</v>
      </c>
      <c r="Y7" s="25">
        <v>7197</v>
      </c>
      <c r="Z7" s="52">
        <v>0.66090000000000004</v>
      </c>
      <c r="AA7" s="11">
        <v>68</v>
      </c>
      <c r="AB7" s="25">
        <v>33738.30227</v>
      </c>
      <c r="AC7" s="25">
        <v>2522.8577100000002</v>
      </c>
      <c r="AD7" s="25">
        <v>1872.07556</v>
      </c>
      <c r="AE7" s="52">
        <v>0.60850000000000004</v>
      </c>
      <c r="AF7" s="11">
        <v>18</v>
      </c>
      <c r="AG7" s="25">
        <v>1688.19</v>
      </c>
      <c r="AH7" s="25">
        <v>512.85</v>
      </c>
      <c r="AI7" s="25">
        <v>3149.74</v>
      </c>
      <c r="AJ7" s="52">
        <v>0.93279999999999996</v>
      </c>
      <c r="AK7" s="11">
        <v>1</v>
      </c>
      <c r="AL7" s="25">
        <v>-2.4500000000000002</v>
      </c>
      <c r="AM7" s="25"/>
      <c r="AN7" s="25">
        <v>0.24</v>
      </c>
      <c r="AO7" s="52">
        <v>-3.3999999999999998E-3</v>
      </c>
      <c r="AP7" s="11">
        <v>5</v>
      </c>
      <c r="AQ7" s="25">
        <v>-67.86</v>
      </c>
      <c r="AR7" s="25">
        <v>68.260000000000005</v>
      </c>
      <c r="AS7" s="25"/>
      <c r="AT7" s="52">
        <v>2.0000000000000001E-4</v>
      </c>
      <c r="AU7" s="11">
        <v>11</v>
      </c>
      <c r="AV7" s="25">
        <v>342.6</v>
      </c>
      <c r="AW7" s="25">
        <v>83.61</v>
      </c>
      <c r="AX7" s="25">
        <v>8.75</v>
      </c>
      <c r="AY7" s="52">
        <v>0.4274</v>
      </c>
      <c r="AZ7" s="11">
        <v>6</v>
      </c>
      <c r="BA7" s="25">
        <v>6881.22</v>
      </c>
      <c r="BB7" s="25">
        <v>2578.65</v>
      </c>
      <c r="BC7" s="25"/>
      <c r="BD7" s="52">
        <v>0.60119999999999996</v>
      </c>
      <c r="BE7" s="11">
        <v>58</v>
      </c>
      <c r="BF7" s="25">
        <v>3035</v>
      </c>
      <c r="BG7" s="25">
        <v>891</v>
      </c>
      <c r="BH7" s="25">
        <v>1189</v>
      </c>
      <c r="BI7" s="52">
        <v>0.17979999999999999</v>
      </c>
      <c r="BJ7" s="11">
        <v>20</v>
      </c>
      <c r="BK7" s="25">
        <v>25290</v>
      </c>
      <c r="BL7" s="25">
        <v>409</v>
      </c>
      <c r="BM7" s="25">
        <v>163</v>
      </c>
      <c r="BN7" s="52">
        <v>0.76970000000000005</v>
      </c>
      <c r="BO7" s="11">
        <v>149</v>
      </c>
      <c r="BP7" s="25">
        <v>145845</v>
      </c>
      <c r="BQ7" s="25">
        <v>4352</v>
      </c>
      <c r="BR7" s="25">
        <v>9246</v>
      </c>
      <c r="BS7" s="52">
        <v>0.56000000000000005</v>
      </c>
      <c r="BT7" s="25">
        <v>164</v>
      </c>
      <c r="BU7" s="25">
        <v>126858</v>
      </c>
      <c r="BV7" s="25">
        <v>7965</v>
      </c>
      <c r="BW7" s="25">
        <v>18002</v>
      </c>
      <c r="BX7" s="52">
        <v>0.74919999999999998</v>
      </c>
      <c r="BY7" s="11">
        <v>145</v>
      </c>
      <c r="BZ7" s="25">
        <v>132899</v>
      </c>
      <c r="CA7" s="25">
        <v>7441</v>
      </c>
      <c r="CB7" s="25">
        <v>17671</v>
      </c>
      <c r="CC7" s="52">
        <v>0.87</v>
      </c>
      <c r="CD7" s="11">
        <v>4</v>
      </c>
      <c r="CE7" s="25">
        <v>240</v>
      </c>
      <c r="CF7" s="25">
        <v>65</v>
      </c>
      <c r="CG7" s="25"/>
      <c r="CH7" s="52">
        <v>0.11799999999999999</v>
      </c>
      <c r="CI7" s="11">
        <v>18</v>
      </c>
      <c r="CJ7" s="25"/>
      <c r="CK7" s="25"/>
      <c r="CL7" s="25"/>
      <c r="CM7" s="52"/>
      <c r="CN7" s="11">
        <v>20</v>
      </c>
      <c r="CO7" s="25">
        <v>13324</v>
      </c>
      <c r="CP7" s="25">
        <v>263</v>
      </c>
      <c r="CQ7" s="25">
        <v>482</v>
      </c>
      <c r="CR7" s="52">
        <v>0.61770000000000003</v>
      </c>
      <c r="CS7" s="11">
        <v>3</v>
      </c>
      <c r="CT7" s="25">
        <v>11864</v>
      </c>
      <c r="CU7" s="25">
        <v>37</v>
      </c>
      <c r="CV7" s="25"/>
      <c r="CW7" s="52">
        <v>0.96</v>
      </c>
      <c r="CX7" s="25"/>
      <c r="CY7" s="25">
        <v>158609.04999999999</v>
      </c>
      <c r="CZ7" s="25">
        <v>11163.27</v>
      </c>
      <c r="DA7" s="25">
        <v>77853.89</v>
      </c>
      <c r="DB7" s="52">
        <v>0.94720000000000004</v>
      </c>
      <c r="DC7" s="11">
        <v>203</v>
      </c>
      <c r="DD7" s="25">
        <v>14595</v>
      </c>
      <c r="DE7" s="25">
        <v>3167</v>
      </c>
      <c r="DF7" s="25">
        <v>8668</v>
      </c>
      <c r="DG7" s="52">
        <v>0.12570000000000001</v>
      </c>
      <c r="DH7" s="25"/>
      <c r="DI7" s="25">
        <v>4405</v>
      </c>
      <c r="DJ7" s="25">
        <v>5076</v>
      </c>
      <c r="DK7" s="25">
        <v>3999</v>
      </c>
      <c r="DL7" s="52">
        <v>7.2999999999999995E-2</v>
      </c>
      <c r="DM7" s="11">
        <v>5</v>
      </c>
      <c r="DN7" s="25">
        <v>177.17</v>
      </c>
      <c r="DO7" s="25">
        <v>587.69000000000005</v>
      </c>
      <c r="DP7" s="25">
        <v>609.72</v>
      </c>
      <c r="DQ7" s="87">
        <v>0.86829999999999996</v>
      </c>
      <c r="DR7" s="11">
        <v>137</v>
      </c>
      <c r="DS7" s="25">
        <v>163671.48000000001</v>
      </c>
      <c r="DT7" s="25">
        <v>5777.53</v>
      </c>
      <c r="DU7" s="25">
        <v>6539.67</v>
      </c>
      <c r="DV7" s="52">
        <v>0.79759999999999998</v>
      </c>
      <c r="DW7" s="85"/>
      <c r="DX7" s="52"/>
      <c r="DY7" s="52"/>
      <c r="DZ7" s="52"/>
      <c r="EA7" s="52"/>
      <c r="EB7" s="11">
        <v>1</v>
      </c>
      <c r="EC7" s="25">
        <v>21475</v>
      </c>
      <c r="ED7" s="25">
        <v>225</v>
      </c>
      <c r="EE7" s="25">
        <v>18205</v>
      </c>
      <c r="EF7" s="87">
        <v>1</v>
      </c>
      <c r="EG7" s="11">
        <v>42</v>
      </c>
      <c r="EH7" s="25">
        <v>22418</v>
      </c>
      <c r="EI7" s="25">
        <v>1185</v>
      </c>
      <c r="EJ7" s="25">
        <v>148</v>
      </c>
      <c r="EK7" s="52">
        <v>0.33679999999999999</v>
      </c>
      <c r="EL7" s="11">
        <v>123</v>
      </c>
      <c r="EM7" s="25">
        <v>147476</v>
      </c>
      <c r="EN7" s="25">
        <v>6303</v>
      </c>
      <c r="EO7" s="25">
        <v>1552</v>
      </c>
      <c r="EP7" s="52">
        <v>0.95809999999999995</v>
      </c>
      <c r="EQ7" s="11">
        <v>4</v>
      </c>
      <c r="ER7" s="25">
        <v>149.74</v>
      </c>
      <c r="ES7" s="25">
        <v>110.87</v>
      </c>
      <c r="ET7" s="25">
        <v>47.36</v>
      </c>
      <c r="EU7" s="52">
        <v>7.6899999999999996E-2</v>
      </c>
      <c r="EV7" s="11">
        <v>1</v>
      </c>
      <c r="EW7" s="25">
        <v>36545.129999999997</v>
      </c>
      <c r="EX7" s="25">
        <v>10.98</v>
      </c>
      <c r="EY7" s="25"/>
      <c r="EZ7" s="52">
        <v>1</v>
      </c>
      <c r="FA7" s="11">
        <v>164</v>
      </c>
      <c r="FB7" s="25">
        <v>100862</v>
      </c>
      <c r="FC7" s="25">
        <v>5072</v>
      </c>
      <c r="FD7" s="25">
        <v>9119</v>
      </c>
      <c r="FE7" s="52">
        <v>0.65110000000000001</v>
      </c>
      <c r="FF7" s="11">
        <v>275</v>
      </c>
      <c r="FG7" s="25">
        <v>116.03</v>
      </c>
      <c r="FH7" s="25">
        <v>102.12</v>
      </c>
      <c r="FI7" s="25">
        <v>498.49</v>
      </c>
      <c r="FJ7" s="52">
        <v>0.3972</v>
      </c>
      <c r="FK7" s="11">
        <v>30</v>
      </c>
      <c r="FL7" s="25">
        <v>43106</v>
      </c>
      <c r="FM7" s="25">
        <v>6324</v>
      </c>
      <c r="FN7" s="25">
        <v>411</v>
      </c>
      <c r="FO7" s="52">
        <v>0.76880000000000004</v>
      </c>
    </row>
    <row r="8" spans="1:171" x14ac:dyDescent="0.25">
      <c r="A8" s="25" t="s">
        <v>186</v>
      </c>
      <c r="B8" s="11"/>
      <c r="C8" s="25"/>
      <c r="D8" s="25"/>
      <c r="E8" s="25"/>
      <c r="F8" s="52"/>
      <c r="G8" s="25"/>
      <c r="H8" s="25"/>
      <c r="I8" s="25"/>
      <c r="J8" s="25"/>
      <c r="K8" s="52"/>
      <c r="L8" s="11">
        <v>0</v>
      </c>
      <c r="M8" s="25">
        <v>0</v>
      </c>
      <c r="N8" s="25"/>
      <c r="O8" s="50"/>
      <c r="P8" s="25"/>
      <c r="Q8" s="11">
        <v>1</v>
      </c>
      <c r="R8" s="25">
        <v>5695</v>
      </c>
      <c r="S8" s="25">
        <v>198</v>
      </c>
      <c r="T8" s="25"/>
      <c r="U8" s="52">
        <v>0.25</v>
      </c>
      <c r="V8" s="11"/>
      <c r="W8" s="25"/>
      <c r="X8" s="25"/>
      <c r="Y8" s="25"/>
      <c r="Z8" s="52"/>
      <c r="AA8" s="11">
        <v>10</v>
      </c>
      <c r="AB8" s="25">
        <v>21126.814679999999</v>
      </c>
      <c r="AC8" s="25">
        <v>1176.2460000000001</v>
      </c>
      <c r="AD8" s="25">
        <v>208.14060000000001</v>
      </c>
      <c r="AE8" s="52">
        <v>0.35920000000000002</v>
      </c>
      <c r="AF8" s="11"/>
      <c r="AG8" s="25"/>
      <c r="AH8" s="25"/>
      <c r="AI8" s="25"/>
      <c r="AJ8" s="52"/>
      <c r="AK8" s="11"/>
      <c r="AL8" s="25"/>
      <c r="AM8" s="25"/>
      <c r="AN8" s="25"/>
      <c r="AO8" s="52"/>
      <c r="AP8" s="11">
        <v>6</v>
      </c>
      <c r="AQ8" s="25">
        <v>2274.4299999999998</v>
      </c>
      <c r="AR8" s="25">
        <v>201.78</v>
      </c>
      <c r="AS8" s="25"/>
      <c r="AT8" s="52">
        <v>0.99770000000000003</v>
      </c>
      <c r="AU8" s="11">
        <v>12</v>
      </c>
      <c r="AV8" s="25">
        <v>4.53</v>
      </c>
      <c r="AW8" s="25">
        <v>22.4</v>
      </c>
      <c r="AX8" s="25"/>
      <c r="AY8" s="52">
        <v>2.64E-2</v>
      </c>
      <c r="AZ8" s="11">
        <v>3</v>
      </c>
      <c r="BA8" s="25">
        <v>5915.04</v>
      </c>
      <c r="BB8" s="25">
        <v>360.49</v>
      </c>
      <c r="BC8" s="25"/>
      <c r="BD8" s="52">
        <v>0.39879999999999999</v>
      </c>
      <c r="BE8" s="11">
        <v>11</v>
      </c>
      <c r="BF8" s="25">
        <v>7305</v>
      </c>
      <c r="BG8" s="25">
        <v>324</v>
      </c>
      <c r="BH8" s="25">
        <v>56</v>
      </c>
      <c r="BI8" s="52">
        <v>6.54E-2</v>
      </c>
      <c r="BJ8" s="11"/>
      <c r="BK8" s="25"/>
      <c r="BL8" s="25"/>
      <c r="BM8" s="25"/>
      <c r="BN8" s="52"/>
      <c r="BO8" s="11">
        <v>2</v>
      </c>
      <c r="BP8" s="25">
        <v>10</v>
      </c>
      <c r="BQ8" s="25"/>
      <c r="BR8" s="25">
        <v>-1</v>
      </c>
      <c r="BS8" s="52"/>
      <c r="BT8" s="25">
        <v>2</v>
      </c>
      <c r="BU8" s="25">
        <v>5</v>
      </c>
      <c r="BV8" s="25"/>
      <c r="BW8" s="25"/>
      <c r="BX8" s="52"/>
      <c r="BY8" s="11">
        <v>24</v>
      </c>
      <c r="BZ8" s="25">
        <v>3581</v>
      </c>
      <c r="CA8" s="25">
        <v>287</v>
      </c>
      <c r="CB8" s="25">
        <v>293</v>
      </c>
      <c r="CC8" s="52">
        <v>0.02</v>
      </c>
      <c r="CD8" s="11">
        <v>1</v>
      </c>
      <c r="CE8" s="25">
        <v>2066</v>
      </c>
      <c r="CF8" s="25">
        <v>169</v>
      </c>
      <c r="CG8" s="25">
        <v>1</v>
      </c>
      <c r="CH8" s="52">
        <v>0.86499999999999999</v>
      </c>
      <c r="CI8" s="25"/>
      <c r="CJ8" s="25"/>
      <c r="CK8" s="25"/>
      <c r="CL8" s="25"/>
      <c r="CM8" s="52"/>
      <c r="CN8" s="11">
        <v>4</v>
      </c>
      <c r="CO8" s="25">
        <v>-1</v>
      </c>
      <c r="CP8" s="25">
        <v>1</v>
      </c>
      <c r="CQ8" s="25"/>
      <c r="CR8" s="52"/>
      <c r="CS8" s="11"/>
      <c r="CT8" s="25"/>
      <c r="CU8" s="25"/>
      <c r="CV8" s="25"/>
      <c r="CW8" s="52"/>
      <c r="CX8" s="25"/>
      <c r="CY8" s="25">
        <v>3045.29</v>
      </c>
      <c r="CZ8" s="25">
        <v>2740.75</v>
      </c>
      <c r="DA8" s="25">
        <v>1288.1600000000001</v>
      </c>
      <c r="DB8" s="52">
        <v>2.7099999999999999E-2</v>
      </c>
      <c r="DC8" s="11">
        <v>75</v>
      </c>
      <c r="DD8" s="25">
        <v>140446</v>
      </c>
      <c r="DE8" s="25">
        <v>7204</v>
      </c>
      <c r="DF8" s="25">
        <v>28591</v>
      </c>
      <c r="DG8" s="52">
        <v>0.83799999999999997</v>
      </c>
      <c r="DH8" s="25"/>
      <c r="DI8" s="25">
        <v>4</v>
      </c>
      <c r="DJ8" s="25">
        <v>337</v>
      </c>
      <c r="DK8" s="25">
        <v>2</v>
      </c>
      <c r="DL8" s="52">
        <v>1.9E-3</v>
      </c>
      <c r="DM8" s="11"/>
      <c r="DN8" s="25"/>
      <c r="DO8" s="25"/>
      <c r="DP8" s="25"/>
      <c r="DQ8" s="53"/>
      <c r="DR8" s="11">
        <v>9</v>
      </c>
      <c r="DS8" s="25">
        <v>3983.03</v>
      </c>
      <c r="DT8" s="25">
        <v>221.33</v>
      </c>
      <c r="DU8" s="25">
        <v>13.08</v>
      </c>
      <c r="DV8" s="52">
        <v>1.9099999999999999E-2</v>
      </c>
      <c r="DW8" s="85"/>
      <c r="DX8" s="52"/>
      <c r="DY8" s="52"/>
      <c r="DZ8" s="52"/>
      <c r="EA8" s="52"/>
      <c r="EB8" s="11"/>
      <c r="EC8" s="25"/>
      <c r="ED8" s="25"/>
      <c r="EE8" s="25"/>
      <c r="EF8" s="25"/>
      <c r="EG8" s="11">
        <v>15</v>
      </c>
      <c r="EH8" s="25">
        <v>34932</v>
      </c>
      <c r="EI8" s="25">
        <v>837</v>
      </c>
      <c r="EJ8" s="25">
        <v>1654</v>
      </c>
      <c r="EK8" s="52">
        <v>0.66320000000000001</v>
      </c>
      <c r="EL8" s="11"/>
      <c r="EM8" s="25"/>
      <c r="EN8" s="25"/>
      <c r="EO8" s="25"/>
      <c r="EP8" s="25"/>
      <c r="EQ8" s="11">
        <v>6</v>
      </c>
      <c r="ER8" s="25">
        <v>3502.38</v>
      </c>
      <c r="ES8" s="25">
        <v>83.32</v>
      </c>
      <c r="ET8" s="25">
        <v>15.6</v>
      </c>
      <c r="EU8" s="52">
        <v>0.89949999999999997</v>
      </c>
      <c r="EV8" s="25"/>
      <c r="EW8" s="25"/>
      <c r="EX8" s="25"/>
      <c r="EY8" s="25"/>
      <c r="EZ8" s="52"/>
      <c r="FA8" s="11">
        <v>1</v>
      </c>
      <c r="FB8" s="25">
        <v>27</v>
      </c>
      <c r="FC8" s="25"/>
      <c r="FD8" s="25"/>
      <c r="FE8" s="52">
        <v>2.0000000000000001E-4</v>
      </c>
      <c r="FF8" s="11">
        <v>38</v>
      </c>
      <c r="FG8" s="25">
        <v>15.71</v>
      </c>
      <c r="FH8" s="25">
        <v>22.14</v>
      </c>
      <c r="FI8" s="25">
        <v>4.22</v>
      </c>
      <c r="FJ8" s="52">
        <v>2.3300000000000001E-2</v>
      </c>
      <c r="FK8" s="11">
        <v>5</v>
      </c>
      <c r="FL8" s="25">
        <v>87</v>
      </c>
      <c r="FM8" s="25">
        <v>170</v>
      </c>
      <c r="FN8" s="25"/>
      <c r="FO8" s="52">
        <v>4.0000000000000001E-3</v>
      </c>
    </row>
    <row r="9" spans="1:171" x14ac:dyDescent="0.25">
      <c r="A9" s="25" t="s">
        <v>187</v>
      </c>
      <c r="B9" s="11"/>
      <c r="C9" s="25"/>
      <c r="D9" s="25"/>
      <c r="E9" s="25"/>
      <c r="F9" s="52"/>
      <c r="G9" s="25"/>
      <c r="H9" s="25"/>
      <c r="I9" s="25"/>
      <c r="J9" s="25"/>
      <c r="K9" s="52"/>
      <c r="L9" s="11">
        <v>3</v>
      </c>
      <c r="M9" s="25">
        <v>-2.92</v>
      </c>
      <c r="N9" s="25"/>
      <c r="O9" s="50"/>
      <c r="P9" s="25"/>
      <c r="Q9" s="11"/>
      <c r="R9" s="25"/>
      <c r="S9" s="25"/>
      <c r="T9" s="25"/>
      <c r="U9" s="52"/>
      <c r="V9" s="11"/>
      <c r="W9" s="25"/>
      <c r="X9" s="25"/>
      <c r="Y9" s="25"/>
      <c r="Z9" s="52"/>
      <c r="AA9" s="11"/>
      <c r="AB9" s="25"/>
      <c r="AC9" s="25"/>
      <c r="AD9" s="25"/>
      <c r="AE9" s="52"/>
      <c r="AF9" s="11">
        <v>2</v>
      </c>
      <c r="AG9" s="25">
        <v>0.4</v>
      </c>
      <c r="AH9" s="25"/>
      <c r="AI9" s="25"/>
      <c r="AJ9" s="52">
        <v>1E-4</v>
      </c>
      <c r="AK9" s="11"/>
      <c r="AL9" s="25"/>
      <c r="AM9" s="25"/>
      <c r="AN9" s="25"/>
      <c r="AO9" s="52"/>
      <c r="AP9" s="11">
        <v>2</v>
      </c>
      <c r="AQ9" s="25">
        <v>0.03</v>
      </c>
      <c r="AR9" s="25">
        <v>5.22</v>
      </c>
      <c r="AS9" s="25"/>
      <c r="AT9" s="52">
        <v>2.0999999999999999E-3</v>
      </c>
      <c r="AU9" s="11"/>
      <c r="AV9" s="25"/>
      <c r="AW9" s="25"/>
      <c r="AX9" s="25"/>
      <c r="AY9" s="52"/>
      <c r="AZ9" s="11">
        <v>2</v>
      </c>
      <c r="BA9" s="25">
        <v>0.15</v>
      </c>
      <c r="BB9" s="25"/>
      <c r="BC9" s="25"/>
      <c r="BD9" s="52"/>
      <c r="BE9" s="11"/>
      <c r="BF9" s="25"/>
      <c r="BG9" s="25"/>
      <c r="BH9" s="25"/>
      <c r="BI9" s="52"/>
      <c r="BJ9" s="11"/>
      <c r="BK9" s="25"/>
      <c r="BL9" s="25"/>
      <c r="BM9" s="25"/>
      <c r="BN9" s="52"/>
      <c r="BO9" s="11"/>
      <c r="BP9" s="25"/>
      <c r="BQ9" s="25"/>
      <c r="BR9" s="25"/>
      <c r="BS9" s="52"/>
      <c r="BT9" s="25">
        <v>9</v>
      </c>
      <c r="BU9" s="25">
        <v>57</v>
      </c>
      <c r="BV9" s="25">
        <v>-1</v>
      </c>
      <c r="BW9" s="25"/>
      <c r="BX9" s="52">
        <v>2.9999999999999997E-4</v>
      </c>
      <c r="BY9" s="11"/>
      <c r="BZ9" s="25"/>
      <c r="CA9" s="25"/>
      <c r="CB9" s="25"/>
      <c r="CC9" s="52"/>
      <c r="CD9" s="11"/>
      <c r="CE9" s="25"/>
      <c r="CF9" s="25"/>
      <c r="CG9" s="25"/>
      <c r="CH9" s="52"/>
      <c r="CI9" s="11">
        <v>2</v>
      </c>
      <c r="CJ9" s="25"/>
      <c r="CK9" s="25"/>
      <c r="CL9" s="25"/>
      <c r="CM9" s="52"/>
      <c r="CN9" s="11">
        <v>9</v>
      </c>
      <c r="CO9" s="25">
        <v>-2</v>
      </c>
      <c r="CP9" s="25"/>
      <c r="CQ9" s="25"/>
      <c r="CR9" s="52">
        <v>-1E-4</v>
      </c>
      <c r="CS9" s="11"/>
      <c r="CT9" s="25"/>
      <c r="CU9" s="25"/>
      <c r="CV9" s="25"/>
      <c r="CW9" s="52"/>
      <c r="CX9" s="25"/>
      <c r="CY9" s="25">
        <v>2208.89</v>
      </c>
      <c r="CZ9" s="25">
        <v>55.53</v>
      </c>
      <c r="DA9" s="25">
        <v>4436.47</v>
      </c>
      <c r="DB9" s="52">
        <v>2.5600000000000001E-2</v>
      </c>
      <c r="DC9" s="11">
        <v>2</v>
      </c>
      <c r="DD9" s="25">
        <v>877</v>
      </c>
      <c r="DE9" s="25"/>
      <c r="DF9" s="25"/>
      <c r="DG9" s="52">
        <v>4.1999999999999997E-3</v>
      </c>
      <c r="DH9" s="25"/>
      <c r="DI9" s="25">
        <f>3113+15096</f>
        <v>18209</v>
      </c>
      <c r="DJ9" s="25">
        <f>943+864</f>
        <v>1807</v>
      </c>
      <c r="DK9" s="25">
        <v>150</v>
      </c>
      <c r="DL9" s="52">
        <v>0.10920000000000001</v>
      </c>
      <c r="DM9" s="11"/>
      <c r="DN9" s="25"/>
      <c r="DO9" s="25"/>
      <c r="DP9" s="25"/>
      <c r="DQ9" s="53"/>
      <c r="DR9" s="11">
        <v>7</v>
      </c>
      <c r="DS9" s="25">
        <v>10110.9</v>
      </c>
      <c r="DT9" s="25">
        <v>436.12</v>
      </c>
      <c r="DU9" s="25">
        <v>188.89</v>
      </c>
      <c r="DV9" s="52">
        <v>4.87E-2</v>
      </c>
      <c r="DW9" s="85"/>
      <c r="DX9" s="52"/>
      <c r="DY9" s="52"/>
      <c r="DZ9" s="52"/>
      <c r="EA9" s="52"/>
      <c r="EB9" s="11"/>
      <c r="EC9" s="25"/>
      <c r="ED9" s="25"/>
      <c r="EE9" s="25"/>
      <c r="EF9" s="25"/>
      <c r="EG9" s="11"/>
      <c r="EH9" s="25"/>
      <c r="EI9" s="25"/>
      <c r="EJ9" s="25"/>
      <c r="EK9" s="52"/>
      <c r="EL9" s="11"/>
      <c r="EM9" s="25"/>
      <c r="EN9" s="25"/>
      <c r="EO9" s="25"/>
      <c r="EP9" s="25"/>
      <c r="EQ9" s="11">
        <v>6</v>
      </c>
      <c r="ER9" s="25">
        <v>49.47</v>
      </c>
      <c r="ES9" s="25">
        <v>38.06</v>
      </c>
      <c r="ET9" s="25">
        <v>3.98</v>
      </c>
      <c r="EU9" s="52">
        <v>2.1899999999999999E-2</v>
      </c>
      <c r="EV9" s="25"/>
      <c r="EW9" s="25"/>
      <c r="EX9" s="25"/>
      <c r="EY9" s="25"/>
      <c r="EZ9" s="52"/>
      <c r="FA9" s="11">
        <v>1</v>
      </c>
      <c r="FB9" s="25">
        <v>53</v>
      </c>
      <c r="FC9" s="25"/>
      <c r="FD9" s="25"/>
      <c r="FE9" s="52">
        <v>2.9999999999999997E-4</v>
      </c>
      <c r="FF9" s="11">
        <v>32</v>
      </c>
      <c r="FG9" s="25">
        <v>7.59</v>
      </c>
      <c r="FH9" s="25">
        <v>3.11</v>
      </c>
      <c r="FI9" s="25">
        <v>9.86</v>
      </c>
      <c r="FJ9" s="52">
        <v>1.14E-2</v>
      </c>
      <c r="FK9" s="11">
        <v>16</v>
      </c>
      <c r="FL9" s="25">
        <v>117</v>
      </c>
      <c r="FM9" s="25">
        <v>389</v>
      </c>
      <c r="FN9" s="25">
        <v>108</v>
      </c>
      <c r="FO9" s="52">
        <v>9.4999999999999998E-3</v>
      </c>
    </row>
    <row r="10" spans="1:171" ht="30" x14ac:dyDescent="0.25">
      <c r="A10" s="26" t="s">
        <v>188</v>
      </c>
      <c r="B10" s="11"/>
      <c r="C10" s="25"/>
      <c r="D10" s="25"/>
      <c r="E10" s="25"/>
      <c r="F10" s="52"/>
      <c r="G10" s="25"/>
      <c r="H10" s="25"/>
      <c r="I10" s="25"/>
      <c r="J10" s="25"/>
      <c r="K10" s="52"/>
      <c r="L10" s="11"/>
      <c r="M10" s="25"/>
      <c r="N10" s="25"/>
      <c r="O10" s="50"/>
      <c r="P10" s="25"/>
      <c r="Q10" s="11"/>
      <c r="R10" s="25"/>
      <c r="S10" s="25"/>
      <c r="T10" s="25"/>
      <c r="U10" s="52"/>
      <c r="V10" s="11"/>
      <c r="W10" s="25"/>
      <c r="X10" s="25"/>
      <c r="Y10" s="25"/>
      <c r="Z10" s="52"/>
      <c r="AA10" s="11">
        <v>12</v>
      </c>
      <c r="AB10" s="25"/>
      <c r="AC10" s="25"/>
      <c r="AD10" s="25">
        <v>796.50278000000003</v>
      </c>
      <c r="AE10" s="52">
        <v>1.2699999999999999E-2</v>
      </c>
      <c r="AF10" s="11"/>
      <c r="AG10" s="25"/>
      <c r="AH10" s="25"/>
      <c r="AI10" s="25"/>
      <c r="AJ10" s="52"/>
      <c r="AK10" s="11"/>
      <c r="AL10" s="25"/>
      <c r="AM10" s="25"/>
      <c r="AN10" s="25"/>
      <c r="AO10" s="52"/>
      <c r="AP10" s="11"/>
      <c r="AQ10" s="25"/>
      <c r="AR10" s="25"/>
      <c r="AS10" s="25"/>
      <c r="AT10" s="52"/>
      <c r="AU10" s="11"/>
      <c r="AV10" s="25"/>
      <c r="AW10" s="25"/>
      <c r="AX10" s="25"/>
      <c r="AY10" s="52"/>
      <c r="AZ10" s="11"/>
      <c r="BA10" s="25"/>
      <c r="BB10" s="25"/>
      <c r="BC10" s="25"/>
      <c r="BD10" s="52"/>
      <c r="BE10" s="11">
        <v>9</v>
      </c>
      <c r="BF10" s="25">
        <v>81</v>
      </c>
      <c r="BG10" s="25"/>
      <c r="BH10" s="25">
        <v>572</v>
      </c>
      <c r="BI10" s="52">
        <v>1.2500000000000001E-2</v>
      </c>
      <c r="BJ10" s="11"/>
      <c r="BK10" s="25"/>
      <c r="BL10" s="25"/>
      <c r="BM10" s="25"/>
      <c r="BN10" s="52"/>
      <c r="BO10" s="11"/>
      <c r="BP10" s="25"/>
      <c r="BQ10" s="25"/>
      <c r="BR10" s="25"/>
      <c r="BS10" s="52"/>
      <c r="BT10" s="25"/>
      <c r="BU10" s="25"/>
      <c r="BV10" s="25"/>
      <c r="BW10" s="25"/>
      <c r="BX10" s="52"/>
      <c r="BY10" s="11"/>
      <c r="BZ10" s="25"/>
      <c r="CA10" s="25"/>
      <c r="CB10" s="25"/>
      <c r="CC10" s="52"/>
      <c r="CD10" s="11"/>
      <c r="CE10" s="25"/>
      <c r="CF10" s="25"/>
      <c r="CG10" s="25"/>
      <c r="CH10" s="52"/>
      <c r="CI10" s="25"/>
      <c r="CJ10" s="25"/>
      <c r="CK10" s="25"/>
      <c r="CL10" s="25"/>
      <c r="CM10" s="52"/>
      <c r="CN10" s="11"/>
      <c r="CO10" s="25"/>
      <c r="CP10" s="25"/>
      <c r="CQ10" s="25"/>
      <c r="CR10" s="52"/>
      <c r="CS10" s="11"/>
      <c r="CT10" s="25"/>
      <c r="CU10" s="25"/>
      <c r="CV10" s="25"/>
      <c r="CW10" s="52"/>
      <c r="CX10" s="25"/>
      <c r="CY10" s="25"/>
      <c r="CZ10" s="25"/>
      <c r="DA10" s="25"/>
      <c r="DB10" s="25"/>
      <c r="DC10" s="11"/>
      <c r="DD10" s="25"/>
      <c r="DE10" s="25"/>
      <c r="DF10" s="25"/>
      <c r="DG10" s="52"/>
      <c r="DH10" s="25"/>
      <c r="DI10" s="25">
        <v>121455</v>
      </c>
      <c r="DJ10" s="25">
        <v>10157</v>
      </c>
      <c r="DK10" s="25">
        <v>8417</v>
      </c>
      <c r="DL10" s="52">
        <v>0.75819999999999999</v>
      </c>
      <c r="DM10" s="11"/>
      <c r="DN10" s="25"/>
      <c r="DO10" s="25"/>
      <c r="DP10" s="25"/>
      <c r="DQ10" s="53"/>
      <c r="DR10" s="11"/>
      <c r="DS10" s="25"/>
      <c r="DT10" s="25"/>
      <c r="DU10" s="25"/>
      <c r="DV10" s="52"/>
      <c r="DW10" s="85"/>
      <c r="DX10" s="52"/>
      <c r="DY10" s="52"/>
      <c r="DZ10" s="52"/>
      <c r="EA10" s="52"/>
      <c r="EB10" s="11"/>
      <c r="EC10" s="25"/>
      <c r="ED10" s="25"/>
      <c r="EE10" s="25"/>
      <c r="EF10" s="25"/>
      <c r="EG10" s="11"/>
      <c r="EH10" s="25"/>
      <c r="EI10" s="25"/>
      <c r="EJ10" s="25"/>
      <c r="EK10" s="52"/>
      <c r="EL10" s="11"/>
      <c r="EM10" s="25"/>
      <c r="EN10" s="25"/>
      <c r="EO10" s="25"/>
      <c r="EP10" s="25"/>
      <c r="EQ10" s="11"/>
      <c r="ER10" s="25"/>
      <c r="ES10" s="25"/>
      <c r="ET10" s="25"/>
      <c r="EU10" s="52"/>
      <c r="EV10" s="25"/>
      <c r="EW10" s="25"/>
      <c r="EX10" s="25"/>
      <c r="EY10" s="25"/>
      <c r="EZ10" s="52"/>
      <c r="FA10" s="11"/>
      <c r="FB10" s="25"/>
      <c r="FC10" s="25"/>
      <c r="FD10" s="25"/>
      <c r="FE10" s="52"/>
      <c r="FF10" s="11"/>
      <c r="FG10" s="25"/>
      <c r="FH10" s="25"/>
      <c r="FI10" s="25"/>
      <c r="FJ10" s="52"/>
      <c r="FK10" s="25"/>
      <c r="FL10" s="11"/>
      <c r="FM10" s="25"/>
      <c r="FN10" s="25"/>
      <c r="FO10" s="52"/>
    </row>
    <row r="11" spans="1:171" x14ac:dyDescent="0.25">
      <c r="A11" s="26" t="s">
        <v>46</v>
      </c>
      <c r="B11" s="11"/>
      <c r="C11" s="25"/>
      <c r="D11" s="25"/>
      <c r="E11" s="25"/>
      <c r="F11" s="52"/>
      <c r="G11" s="25"/>
      <c r="H11" s="25"/>
      <c r="I11" s="25"/>
      <c r="J11" s="25"/>
      <c r="K11" s="52"/>
      <c r="L11" s="11"/>
      <c r="M11" s="25"/>
      <c r="N11" s="25"/>
      <c r="O11" s="50"/>
      <c r="P11" s="25"/>
      <c r="Q11" s="11"/>
      <c r="R11" s="25"/>
      <c r="S11" s="25"/>
      <c r="T11" s="25"/>
      <c r="U11" s="52"/>
      <c r="V11" s="11"/>
      <c r="W11" s="25"/>
      <c r="X11" s="25"/>
      <c r="Y11" s="25"/>
      <c r="Z11" s="52"/>
      <c r="AA11" s="11"/>
      <c r="AB11" s="25"/>
      <c r="AC11" s="25"/>
      <c r="AD11" s="25"/>
      <c r="AE11" s="52"/>
      <c r="AF11" s="11"/>
      <c r="AG11" s="25"/>
      <c r="AH11" s="25"/>
      <c r="AI11" s="25"/>
      <c r="AJ11" s="52"/>
      <c r="AK11" s="11"/>
      <c r="AL11" s="25"/>
      <c r="AM11" s="25"/>
      <c r="AN11" s="25"/>
      <c r="AO11" s="52"/>
      <c r="AP11" s="11"/>
      <c r="AQ11" s="25"/>
      <c r="AR11" s="25"/>
      <c r="AS11" s="25"/>
      <c r="AT11" s="52"/>
      <c r="AU11" s="11"/>
      <c r="AV11" s="25"/>
      <c r="AW11" s="25"/>
      <c r="AX11" s="25"/>
      <c r="AY11" s="52"/>
      <c r="AZ11" s="11"/>
      <c r="BA11" s="25"/>
      <c r="BB11" s="25"/>
      <c r="BC11" s="25"/>
      <c r="BD11" s="52"/>
      <c r="BE11" s="11">
        <v>7</v>
      </c>
      <c r="BF11" s="25">
        <v>4118</v>
      </c>
      <c r="BG11" s="25">
        <v>1186</v>
      </c>
      <c r="BH11" s="25">
        <v>152</v>
      </c>
      <c r="BI11" s="52">
        <v>0.1046</v>
      </c>
      <c r="BJ11" s="11"/>
      <c r="BK11" s="25"/>
      <c r="BL11" s="25"/>
      <c r="BM11" s="25"/>
      <c r="BN11" s="52"/>
      <c r="BO11" s="11"/>
      <c r="BP11" s="25"/>
      <c r="BQ11" s="25"/>
      <c r="BR11" s="25"/>
      <c r="BS11" s="52"/>
      <c r="BT11" s="25"/>
      <c r="BU11" s="25"/>
      <c r="BV11" s="25"/>
      <c r="BW11" s="25"/>
      <c r="BX11" s="52"/>
      <c r="BY11" s="11"/>
      <c r="BZ11" s="25"/>
      <c r="CA11" s="25"/>
      <c r="CB11" s="25"/>
      <c r="CC11" s="52"/>
      <c r="CD11" s="11"/>
      <c r="CE11" s="25"/>
      <c r="CF11" s="25"/>
      <c r="CG11" s="25"/>
      <c r="CH11" s="52"/>
      <c r="CI11" s="25"/>
      <c r="CJ11" s="25"/>
      <c r="CK11" s="25"/>
      <c r="CL11" s="25"/>
      <c r="CM11" s="52"/>
      <c r="CN11" s="11"/>
      <c r="CO11" s="25"/>
      <c r="CP11" s="25"/>
      <c r="CQ11" s="25"/>
      <c r="CR11" s="52"/>
      <c r="CS11" s="11"/>
      <c r="CT11" s="25"/>
      <c r="CU11" s="25"/>
      <c r="CV11" s="25"/>
      <c r="CW11" s="52"/>
      <c r="CX11" s="25"/>
      <c r="CY11" s="25"/>
      <c r="CZ11" s="25"/>
      <c r="DA11" s="25"/>
      <c r="DB11" s="25"/>
      <c r="DC11" s="11"/>
      <c r="DD11" s="25"/>
      <c r="DE11" s="25"/>
      <c r="DF11" s="25"/>
      <c r="DG11" s="52"/>
      <c r="DH11" s="25"/>
      <c r="DI11" s="25">
        <v>3152</v>
      </c>
      <c r="DJ11" s="25"/>
      <c r="DK11" s="25"/>
      <c r="DL11" s="52">
        <v>1.7100000000000001E-2</v>
      </c>
      <c r="DM11" s="11"/>
      <c r="DN11" s="25"/>
      <c r="DO11" s="25"/>
      <c r="DP11" s="25"/>
      <c r="DQ11" s="53"/>
      <c r="DR11" s="11"/>
      <c r="DS11" s="25"/>
      <c r="DT11" s="25"/>
      <c r="DU11" s="25"/>
      <c r="DV11" s="52"/>
      <c r="DW11" s="85"/>
      <c r="DX11" s="52"/>
      <c r="DY11" s="52"/>
      <c r="DZ11" s="52"/>
      <c r="EA11" s="52"/>
      <c r="EB11" s="11"/>
      <c r="EC11" s="25"/>
      <c r="ED11" s="25"/>
      <c r="EE11" s="25"/>
      <c r="EF11" s="25"/>
      <c r="EG11" s="11"/>
      <c r="EH11" s="25"/>
      <c r="EI11" s="25"/>
      <c r="EJ11" s="25"/>
      <c r="EK11" s="52"/>
      <c r="EL11" s="11"/>
      <c r="EM11" s="25"/>
      <c r="EN11" s="25"/>
      <c r="EO11" s="25"/>
      <c r="EP11" s="25"/>
      <c r="EQ11" s="11"/>
      <c r="ER11" s="25"/>
      <c r="ES11" s="25"/>
      <c r="ET11" s="25"/>
      <c r="EU11" s="52"/>
      <c r="EV11" s="25"/>
      <c r="EW11" s="25"/>
      <c r="EX11" s="25"/>
      <c r="EY11" s="25"/>
      <c r="EZ11" s="52"/>
      <c r="FA11" s="11"/>
      <c r="FB11" s="25"/>
      <c r="FC11" s="25"/>
      <c r="FD11" s="25"/>
      <c r="FE11" s="52"/>
      <c r="FF11" s="11">
        <v>36</v>
      </c>
      <c r="FG11" s="25">
        <v>586.24</v>
      </c>
      <c r="FH11" s="25">
        <v>143.75</v>
      </c>
      <c r="FI11" s="25">
        <v>289.68</v>
      </c>
      <c r="FJ11" s="52">
        <v>0.56520000000000004</v>
      </c>
      <c r="FK11" s="25"/>
      <c r="FL11" s="11"/>
      <c r="FM11" s="25"/>
      <c r="FN11" s="25"/>
      <c r="FO11" s="52"/>
    </row>
    <row r="12" spans="1:171" x14ac:dyDescent="0.25">
      <c r="A12" s="26" t="s">
        <v>189</v>
      </c>
      <c r="B12" s="11"/>
      <c r="C12" s="25"/>
      <c r="D12" s="25"/>
      <c r="E12" s="25"/>
      <c r="F12" s="52"/>
      <c r="G12" s="25"/>
      <c r="H12" s="25"/>
      <c r="I12" s="25"/>
      <c r="J12" s="25"/>
      <c r="K12" s="52"/>
      <c r="L12" s="11"/>
      <c r="M12" s="25"/>
      <c r="N12" s="25"/>
      <c r="O12" s="50"/>
      <c r="P12" s="25"/>
      <c r="Q12" s="11"/>
      <c r="R12" s="25"/>
      <c r="S12" s="25"/>
      <c r="T12" s="25"/>
      <c r="U12" s="52"/>
      <c r="V12" s="11"/>
      <c r="W12" s="25"/>
      <c r="X12" s="25"/>
      <c r="Y12" s="25"/>
      <c r="Z12" s="52"/>
      <c r="AA12" s="11"/>
      <c r="AB12" s="25"/>
      <c r="AC12" s="25"/>
      <c r="AD12" s="25"/>
      <c r="AE12" s="52"/>
      <c r="AF12" s="11"/>
      <c r="AG12" s="25"/>
      <c r="AH12" s="25"/>
      <c r="AI12" s="25"/>
      <c r="AJ12" s="52"/>
      <c r="AK12" s="11"/>
      <c r="AL12" s="25"/>
      <c r="AM12" s="25"/>
      <c r="AN12" s="25"/>
      <c r="AO12" s="52"/>
      <c r="AP12" s="11"/>
      <c r="AQ12" s="25"/>
      <c r="AR12" s="25"/>
      <c r="AS12" s="25"/>
      <c r="AT12" s="52"/>
      <c r="AU12" s="11"/>
      <c r="AV12" s="25"/>
      <c r="AW12" s="25"/>
      <c r="AX12" s="25"/>
      <c r="AY12" s="52"/>
      <c r="AZ12" s="11"/>
      <c r="BA12" s="25"/>
      <c r="BB12" s="25"/>
      <c r="BC12" s="25"/>
      <c r="BD12" s="52"/>
      <c r="BE12" s="11">
        <v>1</v>
      </c>
      <c r="BF12" s="25">
        <v>26568</v>
      </c>
      <c r="BG12" s="25">
        <v>3530</v>
      </c>
      <c r="BH12" s="25">
        <v>186</v>
      </c>
      <c r="BI12" s="52">
        <v>0.58030000000000004</v>
      </c>
      <c r="BJ12" s="11"/>
      <c r="BK12" s="25"/>
      <c r="BL12" s="25"/>
      <c r="BM12" s="25"/>
      <c r="BN12" s="52"/>
      <c r="BO12" s="11"/>
      <c r="BP12" s="25"/>
      <c r="BQ12" s="25"/>
      <c r="BR12" s="25"/>
      <c r="BS12" s="52"/>
      <c r="BT12" s="25">
        <v>18</v>
      </c>
      <c r="BU12" s="25">
        <v>449</v>
      </c>
      <c r="BV12" s="25">
        <v>7</v>
      </c>
      <c r="BW12" s="25">
        <v>11149</v>
      </c>
      <c r="BX12" s="52">
        <v>5.6899999999999999E-2</v>
      </c>
      <c r="BY12" s="11"/>
      <c r="BZ12" s="25"/>
      <c r="CA12" s="25"/>
      <c r="CB12" s="25"/>
      <c r="CC12" s="52"/>
      <c r="CD12" s="11"/>
      <c r="CE12" s="25"/>
      <c r="CF12" s="25"/>
      <c r="CG12" s="25"/>
      <c r="CH12" s="52"/>
      <c r="CI12" s="25"/>
      <c r="CJ12" s="25"/>
      <c r="CK12" s="25"/>
      <c r="CL12" s="25"/>
      <c r="CM12" s="52"/>
      <c r="CN12" s="11"/>
      <c r="CO12" s="25"/>
      <c r="CP12" s="25"/>
      <c r="CQ12" s="25"/>
      <c r="CR12" s="52"/>
      <c r="CS12" s="11"/>
      <c r="CT12" s="25"/>
      <c r="CU12" s="25"/>
      <c r="CV12" s="25"/>
      <c r="CW12" s="52"/>
      <c r="CX12" s="25"/>
      <c r="CY12" s="25"/>
      <c r="CZ12" s="25"/>
      <c r="DA12" s="25"/>
      <c r="DB12" s="25"/>
      <c r="DC12" s="11"/>
      <c r="DD12" s="25"/>
      <c r="DE12" s="25"/>
      <c r="DF12" s="25"/>
      <c r="DG12" s="52"/>
      <c r="DH12" s="25"/>
      <c r="DI12" s="25"/>
      <c r="DJ12" s="25"/>
      <c r="DK12" s="25"/>
      <c r="DL12" s="52"/>
      <c r="DM12" s="11"/>
      <c r="DN12" s="25"/>
      <c r="DO12" s="25"/>
      <c r="DP12" s="25"/>
      <c r="DQ12" s="53"/>
      <c r="DR12" s="11"/>
      <c r="DS12" s="25"/>
      <c r="DT12" s="25"/>
      <c r="DU12" s="25"/>
      <c r="DV12" s="52"/>
      <c r="DW12" s="85"/>
      <c r="DX12" s="52"/>
      <c r="DY12" s="52"/>
      <c r="DZ12" s="52"/>
      <c r="EA12" s="52"/>
      <c r="EB12" s="11"/>
      <c r="EC12" s="25"/>
      <c r="ED12" s="25"/>
      <c r="EE12" s="25"/>
      <c r="EF12" s="25"/>
      <c r="EG12" s="11"/>
      <c r="EH12" s="25"/>
      <c r="EI12" s="25"/>
      <c r="EJ12" s="25"/>
      <c r="EK12" s="52"/>
      <c r="EL12" s="11"/>
      <c r="EM12" s="25"/>
      <c r="EN12" s="25"/>
      <c r="EO12" s="25"/>
      <c r="EP12" s="25"/>
      <c r="EQ12" s="11"/>
      <c r="ER12" s="25"/>
      <c r="ES12" s="25"/>
      <c r="ET12" s="25"/>
      <c r="EU12" s="52"/>
      <c r="EV12" s="25"/>
      <c r="EW12" s="25"/>
      <c r="EX12" s="25"/>
      <c r="EY12" s="25"/>
      <c r="EZ12" s="52"/>
      <c r="FA12" s="11"/>
      <c r="FB12" s="25"/>
      <c r="FC12" s="25"/>
      <c r="FD12" s="25"/>
      <c r="FE12" s="52"/>
      <c r="FF12" s="11"/>
      <c r="FG12" s="25"/>
      <c r="FH12" s="25"/>
      <c r="FI12" s="25"/>
      <c r="FJ12" s="52"/>
      <c r="FK12" s="25"/>
      <c r="FL12" s="11"/>
      <c r="FM12" s="25"/>
      <c r="FN12" s="25"/>
      <c r="FO12" s="52"/>
    </row>
    <row r="13" spans="1:171" x14ac:dyDescent="0.25">
      <c r="A13" s="25" t="s">
        <v>190</v>
      </c>
      <c r="B13" s="11"/>
      <c r="C13" s="25"/>
      <c r="D13" s="25"/>
      <c r="E13" s="25"/>
      <c r="F13" s="52"/>
      <c r="G13" s="25"/>
      <c r="H13" s="25"/>
      <c r="I13" s="25"/>
      <c r="J13" s="25"/>
      <c r="K13" s="52"/>
      <c r="L13" s="11"/>
      <c r="M13" s="25"/>
      <c r="N13" s="25"/>
      <c r="O13" s="50"/>
      <c r="P13" s="25"/>
      <c r="Q13" s="11"/>
      <c r="R13" s="25"/>
      <c r="S13" s="25"/>
      <c r="T13" s="25"/>
      <c r="U13" s="52"/>
      <c r="V13" s="11"/>
      <c r="W13" s="25"/>
      <c r="X13" s="25"/>
      <c r="Y13" s="25"/>
      <c r="Z13" s="52"/>
      <c r="AA13" s="11"/>
      <c r="AB13" s="25"/>
      <c r="AC13" s="25"/>
      <c r="AD13" s="25"/>
      <c r="AE13" s="52"/>
      <c r="AF13" s="11"/>
      <c r="AG13" s="25"/>
      <c r="AH13" s="25"/>
      <c r="AI13" s="25"/>
      <c r="AJ13" s="52"/>
      <c r="AK13" s="11"/>
      <c r="AL13" s="25"/>
      <c r="AM13" s="25"/>
      <c r="AN13" s="25"/>
      <c r="AO13" s="52"/>
      <c r="AP13" s="11"/>
      <c r="AQ13" s="25"/>
      <c r="AR13" s="25"/>
      <c r="AS13" s="25"/>
      <c r="AT13" s="52"/>
      <c r="AU13" s="11"/>
      <c r="AV13" s="25"/>
      <c r="AW13" s="25"/>
      <c r="AX13" s="25"/>
      <c r="AY13" s="52"/>
      <c r="AZ13" s="11"/>
      <c r="BA13" s="25"/>
      <c r="BB13" s="25"/>
      <c r="BC13" s="25"/>
      <c r="BD13" s="52"/>
      <c r="BE13" s="11"/>
      <c r="BF13" s="25"/>
      <c r="BG13" s="25"/>
      <c r="BH13" s="25"/>
      <c r="BI13" s="52"/>
      <c r="BJ13" s="11"/>
      <c r="BK13" s="25"/>
      <c r="BL13" s="25"/>
      <c r="BM13" s="25"/>
      <c r="BN13" s="52"/>
      <c r="BO13" s="11">
        <v>17</v>
      </c>
      <c r="BP13" s="25"/>
      <c r="BQ13" s="25"/>
      <c r="BR13" s="25">
        <v>5217</v>
      </c>
      <c r="BS13" s="52">
        <v>1.7999999999999999E-2</v>
      </c>
      <c r="BT13" s="25"/>
      <c r="BU13" s="25"/>
      <c r="BV13" s="25"/>
      <c r="BW13" s="25"/>
      <c r="BX13" s="52"/>
      <c r="BY13" s="11">
        <v>16</v>
      </c>
      <c r="BZ13" s="25">
        <v>20</v>
      </c>
      <c r="CA13" s="25">
        <v>2</v>
      </c>
      <c r="CB13" s="25">
        <v>7066</v>
      </c>
      <c r="CC13" s="52">
        <v>0.04</v>
      </c>
      <c r="CD13" s="11">
        <v>4</v>
      </c>
      <c r="CE13" s="25"/>
      <c r="CF13" s="25"/>
      <c r="CG13" s="25">
        <v>45</v>
      </c>
      <c r="CH13" s="52">
        <v>1.7000000000000001E-2</v>
      </c>
      <c r="CI13" s="25"/>
      <c r="CJ13" s="25"/>
      <c r="CK13" s="25"/>
      <c r="CL13" s="25"/>
      <c r="CM13" s="52"/>
      <c r="CN13" s="11">
        <v>4</v>
      </c>
      <c r="CO13" s="25"/>
      <c r="CP13" s="25"/>
      <c r="CQ13" s="25">
        <v>24</v>
      </c>
      <c r="CR13" s="52">
        <v>1E-3</v>
      </c>
      <c r="CS13" s="11"/>
      <c r="CT13" s="25"/>
      <c r="CU13" s="25"/>
      <c r="CV13" s="25"/>
      <c r="CW13" s="52"/>
      <c r="CX13" s="25"/>
      <c r="CY13" s="25"/>
      <c r="CZ13" s="25"/>
      <c r="DA13" s="25"/>
      <c r="DB13" s="25"/>
      <c r="DC13" s="11"/>
      <c r="DD13" s="25"/>
      <c r="DE13" s="25"/>
      <c r="DF13" s="25"/>
      <c r="DG13" s="52"/>
      <c r="DH13" s="25"/>
      <c r="DI13" s="25"/>
      <c r="DJ13" s="25"/>
      <c r="DK13" s="25"/>
      <c r="DL13" s="52"/>
      <c r="DM13" s="11"/>
      <c r="DN13" s="25"/>
      <c r="DO13" s="25"/>
      <c r="DP13" s="25"/>
      <c r="DQ13" s="53"/>
      <c r="DR13" s="11">
        <v>26</v>
      </c>
      <c r="DS13" s="25">
        <v>14897.49</v>
      </c>
      <c r="DT13" s="25">
        <v>870.32</v>
      </c>
      <c r="DU13" s="25">
        <v>7646.81</v>
      </c>
      <c r="DV13" s="52">
        <v>0.1061</v>
      </c>
      <c r="DW13" s="85"/>
      <c r="DX13" s="52"/>
      <c r="DY13" s="52"/>
      <c r="DZ13" s="52"/>
      <c r="EA13" s="52"/>
      <c r="EB13" s="11"/>
      <c r="EC13" s="25"/>
      <c r="ED13" s="25"/>
      <c r="EE13" s="25"/>
      <c r="EF13" s="25"/>
      <c r="EG13" s="11"/>
      <c r="EH13" s="25"/>
      <c r="EI13" s="25"/>
      <c r="EJ13" s="25"/>
      <c r="EK13" s="52"/>
      <c r="EL13" s="11">
        <v>14</v>
      </c>
      <c r="EM13" s="25"/>
      <c r="EN13" s="25"/>
      <c r="EO13" s="25">
        <v>1699</v>
      </c>
      <c r="EP13" s="52">
        <v>1.0500000000000001E-2</v>
      </c>
      <c r="EQ13" s="11"/>
      <c r="ER13" s="25"/>
      <c r="ES13" s="25"/>
      <c r="ET13" s="25"/>
      <c r="EU13" s="52"/>
      <c r="EV13" s="25"/>
      <c r="EW13" s="25"/>
      <c r="EX13" s="25"/>
      <c r="EY13" s="25"/>
      <c r="EZ13" s="52"/>
      <c r="FA13" s="11">
        <v>12</v>
      </c>
      <c r="FB13" s="25">
        <v>1413</v>
      </c>
      <c r="FC13" s="25">
        <v>49</v>
      </c>
      <c r="FD13" s="25">
        <v>618</v>
      </c>
      <c r="FE13" s="52">
        <v>1.18E-2</v>
      </c>
      <c r="FF13" s="11"/>
      <c r="FG13" s="25"/>
      <c r="FH13" s="25"/>
      <c r="FI13" s="25"/>
      <c r="FJ13" s="52"/>
      <c r="FK13" s="25"/>
      <c r="FL13" s="11"/>
      <c r="FM13" s="25"/>
      <c r="FN13" s="25"/>
      <c r="FO13" s="52"/>
    </row>
    <row r="14" spans="1:171" x14ac:dyDescent="0.25">
      <c r="A14" s="25" t="s">
        <v>191</v>
      </c>
      <c r="B14" s="11"/>
      <c r="C14" s="25"/>
      <c r="D14" s="25"/>
      <c r="E14" s="25"/>
      <c r="F14" s="52"/>
      <c r="G14" s="25"/>
      <c r="H14" s="25"/>
      <c r="I14" s="25"/>
      <c r="J14" s="25"/>
      <c r="K14" s="52"/>
      <c r="L14" s="11"/>
      <c r="M14" s="25"/>
      <c r="N14" s="25"/>
      <c r="O14" s="50"/>
      <c r="P14" s="25"/>
      <c r="Q14" s="11"/>
      <c r="R14" s="25"/>
      <c r="S14" s="25"/>
      <c r="T14" s="25"/>
      <c r="U14" s="52"/>
      <c r="V14" s="11"/>
      <c r="W14" s="25"/>
      <c r="X14" s="25"/>
      <c r="Y14" s="25"/>
      <c r="Z14" s="52"/>
      <c r="AA14" s="11"/>
      <c r="AB14" s="25"/>
      <c r="AC14" s="25"/>
      <c r="AD14" s="25"/>
      <c r="AE14" s="52"/>
      <c r="AF14" s="11"/>
      <c r="AG14" s="25"/>
      <c r="AH14" s="25"/>
      <c r="AI14" s="25"/>
      <c r="AJ14" s="52"/>
      <c r="AK14" s="11"/>
      <c r="AL14" s="25"/>
      <c r="AM14" s="25"/>
      <c r="AN14" s="25"/>
      <c r="AO14" s="52"/>
      <c r="AP14" s="11"/>
      <c r="AQ14" s="25"/>
      <c r="AR14" s="25"/>
      <c r="AS14" s="25"/>
      <c r="AT14" s="52"/>
      <c r="AU14" s="11"/>
      <c r="AV14" s="25"/>
      <c r="AW14" s="25"/>
      <c r="AX14" s="25"/>
      <c r="AY14" s="52"/>
      <c r="AZ14" s="11"/>
      <c r="BA14" s="25"/>
      <c r="BB14" s="25"/>
      <c r="BC14" s="25"/>
      <c r="BD14" s="52"/>
      <c r="BE14" s="11"/>
      <c r="BF14" s="25"/>
      <c r="BG14" s="25"/>
      <c r="BH14" s="25"/>
      <c r="BI14" s="52"/>
      <c r="BJ14" s="11"/>
      <c r="BK14" s="25"/>
      <c r="BL14" s="25"/>
      <c r="BM14" s="25"/>
      <c r="BN14" s="52"/>
      <c r="BO14" s="11"/>
      <c r="BP14" s="25"/>
      <c r="BQ14" s="25"/>
      <c r="BR14" s="25"/>
      <c r="BS14" s="52"/>
      <c r="BT14" s="25"/>
      <c r="BU14" s="25"/>
      <c r="BV14" s="25"/>
      <c r="BW14" s="25"/>
      <c r="BX14" s="52"/>
      <c r="BY14" s="11"/>
      <c r="BZ14" s="25"/>
      <c r="CA14" s="25"/>
      <c r="CB14" s="25"/>
      <c r="CC14" s="52"/>
      <c r="CD14" s="11"/>
      <c r="CE14" s="25"/>
      <c r="CF14" s="25"/>
      <c r="CG14" s="25"/>
      <c r="CH14" s="52"/>
      <c r="CI14" s="25"/>
      <c r="CJ14" s="25"/>
      <c r="CK14" s="25"/>
      <c r="CL14" s="25"/>
      <c r="CM14" s="52"/>
      <c r="CN14" s="11"/>
      <c r="CO14" s="25"/>
      <c r="CP14" s="25"/>
      <c r="CQ14" s="25"/>
      <c r="CR14" s="52"/>
      <c r="CS14" s="11"/>
      <c r="CT14" s="25"/>
      <c r="CU14" s="25"/>
      <c r="CV14" s="25"/>
      <c r="CW14" s="52"/>
      <c r="CX14" s="25"/>
      <c r="CY14" s="25"/>
      <c r="CZ14" s="25"/>
      <c r="DA14" s="25"/>
      <c r="DB14" s="25"/>
      <c r="DC14" s="11"/>
      <c r="DD14" s="25"/>
      <c r="DE14" s="25"/>
      <c r="DF14" s="25"/>
      <c r="DG14" s="52"/>
      <c r="DH14" s="25"/>
      <c r="DI14" s="25">
        <v>1549</v>
      </c>
      <c r="DJ14" s="25">
        <v>78</v>
      </c>
      <c r="DK14" s="25"/>
      <c r="DL14" s="52">
        <v>8.8000000000000005E-3</v>
      </c>
      <c r="DM14" s="11"/>
      <c r="DN14" s="25"/>
      <c r="DO14" s="25"/>
      <c r="DP14" s="25"/>
      <c r="DQ14" s="53"/>
      <c r="DR14" s="11"/>
      <c r="DS14" s="25"/>
      <c r="DT14" s="25"/>
      <c r="DU14" s="25"/>
      <c r="DV14" s="52"/>
      <c r="DW14" s="85"/>
      <c r="DX14" s="52"/>
      <c r="DY14" s="52"/>
      <c r="DZ14" s="52"/>
      <c r="EA14" s="52"/>
      <c r="EB14" s="11"/>
      <c r="EC14" s="25"/>
      <c r="ED14" s="25"/>
      <c r="EE14" s="25"/>
      <c r="EF14" s="25"/>
      <c r="EG14" s="11"/>
      <c r="EH14" s="25"/>
      <c r="EI14" s="25"/>
      <c r="EJ14" s="25"/>
      <c r="EK14" s="52"/>
      <c r="EL14" s="11"/>
      <c r="EM14" s="25"/>
      <c r="EN14" s="25"/>
      <c r="EO14" s="25"/>
      <c r="EP14" s="25"/>
      <c r="EQ14" s="11"/>
      <c r="ER14" s="25"/>
      <c r="ES14" s="25"/>
      <c r="ET14" s="25"/>
      <c r="EU14" s="52"/>
      <c r="EV14" s="25"/>
      <c r="EW14" s="25"/>
      <c r="EX14" s="25"/>
      <c r="EY14" s="25"/>
      <c r="EZ14" s="52"/>
      <c r="FA14" s="11"/>
      <c r="FB14" s="25"/>
      <c r="FC14" s="25"/>
      <c r="FD14" s="25"/>
      <c r="FE14" s="52"/>
      <c r="FF14" s="11"/>
      <c r="FG14" s="25"/>
      <c r="FH14" s="25"/>
      <c r="FI14" s="25"/>
      <c r="FJ14" s="52"/>
      <c r="FK14" s="25"/>
      <c r="FL14" s="11"/>
      <c r="FM14" s="25"/>
      <c r="FN14" s="25"/>
      <c r="FO14" s="52"/>
    </row>
    <row r="15" spans="1:171" s="57" customFormat="1" x14ac:dyDescent="0.25">
      <c r="A15" s="27" t="s">
        <v>164</v>
      </c>
      <c r="B15" s="45">
        <f t="shared" ref="B15:U15" si="0">SUM(B5:B14)</f>
        <v>3</v>
      </c>
      <c r="C15" s="27">
        <f t="shared" si="0"/>
        <v>8188.25</v>
      </c>
      <c r="D15" s="27">
        <f t="shared" si="0"/>
        <v>108</v>
      </c>
      <c r="E15" s="27">
        <f t="shared" si="0"/>
        <v>0</v>
      </c>
      <c r="F15" s="54">
        <f t="shared" si="0"/>
        <v>1</v>
      </c>
      <c r="G15" s="27">
        <f t="shared" si="0"/>
        <v>1</v>
      </c>
      <c r="H15" s="27">
        <f t="shared" si="0"/>
        <v>26.91</v>
      </c>
      <c r="I15" s="27">
        <f t="shared" si="0"/>
        <v>0</v>
      </c>
      <c r="J15" s="27">
        <f t="shared" si="0"/>
        <v>0</v>
      </c>
      <c r="K15" s="54">
        <f t="shared" si="0"/>
        <v>1</v>
      </c>
      <c r="L15" s="45">
        <f t="shared" si="0"/>
        <v>58</v>
      </c>
      <c r="M15" s="27">
        <f t="shared" si="0"/>
        <v>478394.39</v>
      </c>
      <c r="N15" s="27">
        <f t="shared" si="0"/>
        <v>16503.010000000002</v>
      </c>
      <c r="O15" s="54">
        <f t="shared" si="0"/>
        <v>1.0001</v>
      </c>
      <c r="P15" s="27">
        <f t="shared" si="0"/>
        <v>0</v>
      </c>
      <c r="Q15" s="45">
        <f t="shared" si="0"/>
        <v>4</v>
      </c>
      <c r="R15" s="27">
        <f t="shared" si="0"/>
        <v>23500</v>
      </c>
      <c r="S15" s="27">
        <f t="shared" si="0"/>
        <v>271</v>
      </c>
      <c r="T15" s="27">
        <f t="shared" si="0"/>
        <v>0</v>
      </c>
      <c r="U15" s="54">
        <f t="shared" si="0"/>
        <v>1</v>
      </c>
      <c r="V15" s="45">
        <f>SUM(V5:V14)</f>
        <v>224</v>
      </c>
      <c r="W15" s="27">
        <f t="shared" ref="W15:CH15" si="1">SUM(W5:W14)</f>
        <v>176671</v>
      </c>
      <c r="X15" s="27">
        <f t="shared" si="1"/>
        <v>4803</v>
      </c>
      <c r="Y15" s="27">
        <f t="shared" si="1"/>
        <v>21479</v>
      </c>
      <c r="Z15" s="54">
        <v>1</v>
      </c>
      <c r="AA15" s="45">
        <f t="shared" si="1"/>
        <v>92</v>
      </c>
      <c r="AB15" s="27">
        <f t="shared" si="1"/>
        <v>56088.794500000004</v>
      </c>
      <c r="AC15" s="27">
        <f t="shared" si="1"/>
        <v>3699.1037100000003</v>
      </c>
      <c r="AD15" s="27">
        <f t="shared" si="1"/>
        <v>2876.7189399999997</v>
      </c>
      <c r="AE15" s="54">
        <v>1</v>
      </c>
      <c r="AF15" s="45">
        <f t="shared" si="1"/>
        <v>24</v>
      </c>
      <c r="AG15" s="27">
        <f t="shared" si="1"/>
        <v>2030.3300000000002</v>
      </c>
      <c r="AH15" s="27">
        <f t="shared" si="1"/>
        <v>556.29</v>
      </c>
      <c r="AI15" s="27">
        <f t="shared" si="1"/>
        <v>3149.74</v>
      </c>
      <c r="AJ15" s="54">
        <f t="shared" si="1"/>
        <v>1</v>
      </c>
      <c r="AK15" s="45">
        <f t="shared" si="1"/>
        <v>2</v>
      </c>
      <c r="AL15" s="27">
        <f t="shared" si="1"/>
        <v>631.57999999999993</v>
      </c>
      <c r="AM15" s="27">
        <f t="shared" si="1"/>
        <v>20.61</v>
      </c>
      <c r="AN15" s="27">
        <f t="shared" si="1"/>
        <v>0.24</v>
      </c>
      <c r="AO15" s="54">
        <f t="shared" si="1"/>
        <v>1</v>
      </c>
      <c r="AP15" s="45">
        <f t="shared" si="1"/>
        <v>13</v>
      </c>
      <c r="AQ15" s="27">
        <f t="shared" si="1"/>
        <v>2206.6</v>
      </c>
      <c r="AR15" s="27">
        <f t="shared" si="1"/>
        <v>275.26000000000005</v>
      </c>
      <c r="AS15" s="27">
        <f t="shared" si="1"/>
        <v>0</v>
      </c>
      <c r="AT15" s="54">
        <f t="shared" si="1"/>
        <v>1</v>
      </c>
      <c r="AU15" s="45">
        <f t="shared" si="1"/>
        <v>26</v>
      </c>
      <c r="AV15" s="27">
        <f t="shared" si="1"/>
        <v>899.8</v>
      </c>
      <c r="AW15" s="27">
        <f t="shared" si="1"/>
        <v>106.00999999999999</v>
      </c>
      <c r="AX15" s="27">
        <f t="shared" si="1"/>
        <v>11.98</v>
      </c>
      <c r="AY15" s="54">
        <f t="shared" si="1"/>
        <v>1</v>
      </c>
      <c r="AZ15" s="45">
        <f t="shared" si="1"/>
        <v>11</v>
      </c>
      <c r="BA15" s="27">
        <f t="shared" si="1"/>
        <v>12796.41</v>
      </c>
      <c r="BB15" s="27">
        <f t="shared" si="1"/>
        <v>2939.1400000000003</v>
      </c>
      <c r="BC15" s="27">
        <f t="shared" si="1"/>
        <v>0</v>
      </c>
      <c r="BD15" s="54">
        <f t="shared" si="1"/>
        <v>1</v>
      </c>
      <c r="BE15" s="45">
        <f t="shared" si="1"/>
        <v>99</v>
      </c>
      <c r="BF15" s="27">
        <f t="shared" si="1"/>
        <v>43654</v>
      </c>
      <c r="BG15" s="27">
        <f t="shared" si="1"/>
        <v>6302</v>
      </c>
      <c r="BH15" s="27">
        <f t="shared" si="1"/>
        <v>2228</v>
      </c>
      <c r="BI15" s="54">
        <f t="shared" si="1"/>
        <v>0.99990000000000001</v>
      </c>
      <c r="BJ15" s="45">
        <f t="shared" si="1"/>
        <v>27</v>
      </c>
      <c r="BK15" s="27">
        <f t="shared" si="1"/>
        <v>32828</v>
      </c>
      <c r="BL15" s="27">
        <f t="shared" si="1"/>
        <v>481</v>
      </c>
      <c r="BM15" s="27">
        <f t="shared" si="1"/>
        <v>291</v>
      </c>
      <c r="BN15" s="54">
        <f t="shared" si="1"/>
        <v>1</v>
      </c>
      <c r="BO15" s="45">
        <f t="shared" si="1"/>
        <v>201</v>
      </c>
      <c r="BP15" s="27">
        <f t="shared" si="1"/>
        <v>257917</v>
      </c>
      <c r="BQ15" s="27">
        <f t="shared" si="1"/>
        <v>8590</v>
      </c>
      <c r="BR15" s="27">
        <f t="shared" si="1"/>
        <v>18331</v>
      </c>
      <c r="BS15" s="54">
        <f t="shared" si="1"/>
        <v>1</v>
      </c>
      <c r="BT15" s="27">
        <f t="shared" si="1"/>
        <v>234</v>
      </c>
      <c r="BU15" s="27">
        <f t="shared" si="1"/>
        <v>156568</v>
      </c>
      <c r="BV15" s="27">
        <f t="shared" si="1"/>
        <v>9917</v>
      </c>
      <c r="BW15" s="27">
        <f t="shared" si="1"/>
        <v>37493</v>
      </c>
      <c r="BX15" s="54">
        <f t="shared" si="1"/>
        <v>0.99999999999999989</v>
      </c>
      <c r="BY15" s="45">
        <f t="shared" si="1"/>
        <v>194</v>
      </c>
      <c r="BZ15" s="27">
        <f t="shared" si="1"/>
        <v>147530</v>
      </c>
      <c r="CA15" s="27">
        <f t="shared" si="1"/>
        <v>7936</v>
      </c>
      <c r="CB15" s="27">
        <f t="shared" si="1"/>
        <v>25418</v>
      </c>
      <c r="CC15" s="54">
        <f t="shared" si="1"/>
        <v>0.99</v>
      </c>
      <c r="CD15" s="45">
        <f t="shared" si="1"/>
        <v>9</v>
      </c>
      <c r="CE15" s="27">
        <f t="shared" si="1"/>
        <v>2306</v>
      </c>
      <c r="CF15" s="27">
        <f t="shared" si="1"/>
        <v>234</v>
      </c>
      <c r="CG15" s="27">
        <f t="shared" si="1"/>
        <v>46</v>
      </c>
      <c r="CH15" s="54">
        <f t="shared" si="1"/>
        <v>1</v>
      </c>
      <c r="CI15" s="27">
        <f t="shared" ref="CI15:EY15" si="2">SUM(CI5:CI14)</f>
        <v>22</v>
      </c>
      <c r="CJ15" s="27">
        <f t="shared" si="2"/>
        <v>0</v>
      </c>
      <c r="CK15" s="27">
        <f t="shared" si="2"/>
        <v>0</v>
      </c>
      <c r="CL15" s="27">
        <f t="shared" si="2"/>
        <v>0</v>
      </c>
      <c r="CM15" s="54">
        <f t="shared" si="2"/>
        <v>0</v>
      </c>
      <c r="CN15" s="45">
        <f t="shared" si="2"/>
        <v>44</v>
      </c>
      <c r="CO15" s="27">
        <f t="shared" si="2"/>
        <v>21906</v>
      </c>
      <c r="CP15" s="27">
        <f t="shared" si="2"/>
        <v>364</v>
      </c>
      <c r="CQ15" s="27">
        <f t="shared" si="2"/>
        <v>506</v>
      </c>
      <c r="CR15" s="54">
        <f t="shared" si="2"/>
        <v>0.99990000000000001</v>
      </c>
      <c r="CS15" s="45">
        <f t="shared" si="2"/>
        <v>4</v>
      </c>
      <c r="CT15" s="27">
        <f t="shared" si="2"/>
        <v>12301</v>
      </c>
      <c r="CU15" s="27">
        <f t="shared" si="2"/>
        <v>37</v>
      </c>
      <c r="CV15" s="27">
        <f t="shared" si="2"/>
        <v>0</v>
      </c>
      <c r="CW15" s="54">
        <f t="shared" si="2"/>
        <v>1</v>
      </c>
      <c r="CX15" s="27">
        <f t="shared" si="2"/>
        <v>0</v>
      </c>
      <c r="CY15" s="27">
        <f t="shared" si="2"/>
        <v>163863.23000000001</v>
      </c>
      <c r="CZ15" s="27">
        <f t="shared" si="2"/>
        <v>13995.76</v>
      </c>
      <c r="DA15" s="27">
        <f t="shared" si="2"/>
        <v>83578.52</v>
      </c>
      <c r="DB15" s="54">
        <f t="shared" si="2"/>
        <v>1</v>
      </c>
      <c r="DC15" s="45">
        <f t="shared" si="2"/>
        <v>312</v>
      </c>
      <c r="DD15" s="27">
        <f t="shared" si="2"/>
        <v>160005</v>
      </c>
      <c r="DE15" s="27">
        <f t="shared" si="2"/>
        <v>11739</v>
      </c>
      <c r="DF15" s="27">
        <f t="shared" si="2"/>
        <v>38571</v>
      </c>
      <c r="DG15" s="54">
        <f t="shared" si="2"/>
        <v>1.0001</v>
      </c>
      <c r="DH15" s="27">
        <f t="shared" si="2"/>
        <v>0</v>
      </c>
      <c r="DI15" s="27">
        <f t="shared" si="2"/>
        <v>153380</v>
      </c>
      <c r="DJ15" s="27">
        <f t="shared" si="2"/>
        <v>18524</v>
      </c>
      <c r="DK15" s="27">
        <f t="shared" si="2"/>
        <v>12785</v>
      </c>
      <c r="DL15" s="54">
        <f t="shared" si="2"/>
        <v>1.0001</v>
      </c>
      <c r="DM15" s="45">
        <f t="shared" si="2"/>
        <v>8</v>
      </c>
      <c r="DN15" s="27">
        <f t="shared" si="2"/>
        <v>177.17</v>
      </c>
      <c r="DO15" s="27">
        <f t="shared" si="2"/>
        <v>798.06000000000006</v>
      </c>
      <c r="DP15" s="27">
        <f t="shared" si="2"/>
        <v>607.82000000000005</v>
      </c>
      <c r="DQ15" s="88">
        <f t="shared" si="2"/>
        <v>1</v>
      </c>
      <c r="DR15" s="45">
        <f t="shared" si="2"/>
        <v>205</v>
      </c>
      <c r="DS15" s="27">
        <f t="shared" si="2"/>
        <v>198373.84</v>
      </c>
      <c r="DT15" s="27">
        <f t="shared" si="2"/>
        <v>7542.32</v>
      </c>
      <c r="DU15" s="27">
        <f t="shared" si="2"/>
        <v>14731.48</v>
      </c>
      <c r="DV15" s="54">
        <f t="shared" si="2"/>
        <v>0.99999999999999989</v>
      </c>
      <c r="DW15" s="45">
        <f t="shared" ref="DW15" si="3">SUM(DW5:DW14)</f>
        <v>2</v>
      </c>
      <c r="DX15" s="27">
        <f t="shared" ref="DX15" si="4">SUM(DX5:DX14)</f>
        <v>215</v>
      </c>
      <c r="DY15" s="27">
        <f t="shared" ref="DY15" si="5">SUM(DY5:DY14)</f>
        <v>0</v>
      </c>
      <c r="DZ15" s="27">
        <f t="shared" ref="DZ15" si="6">SUM(DZ5:DZ14)</f>
        <v>0</v>
      </c>
      <c r="EA15" s="54">
        <f t="shared" ref="EA15" si="7">SUM(EA5:EA14)</f>
        <v>1</v>
      </c>
      <c r="EB15" s="45">
        <f t="shared" si="2"/>
        <v>1</v>
      </c>
      <c r="EC15" s="27">
        <f t="shared" si="2"/>
        <v>21475</v>
      </c>
      <c r="ED15" s="27">
        <f t="shared" si="2"/>
        <v>225</v>
      </c>
      <c r="EE15" s="27">
        <f t="shared" si="2"/>
        <v>18205</v>
      </c>
      <c r="EF15" s="88">
        <f t="shared" si="2"/>
        <v>1</v>
      </c>
      <c r="EG15" s="45">
        <f t="shared" si="2"/>
        <v>58</v>
      </c>
      <c r="EH15" s="27">
        <f t="shared" si="2"/>
        <v>57350</v>
      </c>
      <c r="EI15" s="27">
        <f t="shared" si="2"/>
        <v>2022</v>
      </c>
      <c r="EJ15" s="27">
        <f t="shared" si="2"/>
        <v>2828</v>
      </c>
      <c r="EK15" s="54">
        <f t="shared" si="2"/>
        <v>1</v>
      </c>
      <c r="EL15" s="45">
        <f t="shared" si="2"/>
        <v>143</v>
      </c>
      <c r="EM15" s="27">
        <f t="shared" si="2"/>
        <v>152370</v>
      </c>
      <c r="EN15" s="27">
        <f t="shared" si="2"/>
        <v>6344</v>
      </c>
      <c r="EO15" s="27">
        <f t="shared" si="2"/>
        <v>3404</v>
      </c>
      <c r="EP15" s="54">
        <f t="shared" si="2"/>
        <v>0.99999999999999989</v>
      </c>
      <c r="EQ15" s="45">
        <f t="shared" si="2"/>
        <v>17</v>
      </c>
      <c r="ER15" s="27">
        <f t="shared" si="2"/>
        <v>3704.2799999999997</v>
      </c>
      <c r="ES15" s="27">
        <f t="shared" si="2"/>
        <v>232.25</v>
      </c>
      <c r="ET15" s="27">
        <f t="shared" si="2"/>
        <v>66.94</v>
      </c>
      <c r="EU15" s="54">
        <f t="shared" si="2"/>
        <v>0.999</v>
      </c>
      <c r="EV15" s="27">
        <f t="shared" si="2"/>
        <v>1</v>
      </c>
      <c r="EW15" s="27">
        <f t="shared" si="2"/>
        <v>36545.129999999997</v>
      </c>
      <c r="EX15" s="27">
        <f t="shared" si="2"/>
        <v>10.98</v>
      </c>
      <c r="EY15" s="27">
        <f t="shared" si="2"/>
        <v>0</v>
      </c>
      <c r="EZ15" s="54">
        <f t="shared" ref="EZ15:FO15" si="8">SUM(EZ5:EZ14)</f>
        <v>1</v>
      </c>
      <c r="FA15" s="45">
        <f t="shared" si="8"/>
        <v>228</v>
      </c>
      <c r="FB15" s="27">
        <f t="shared" si="8"/>
        <v>155066</v>
      </c>
      <c r="FC15" s="27">
        <f t="shared" si="8"/>
        <v>7644</v>
      </c>
      <c r="FD15" s="27">
        <f t="shared" si="8"/>
        <v>13984</v>
      </c>
      <c r="FE15" s="54">
        <f t="shared" si="8"/>
        <v>1</v>
      </c>
      <c r="FF15" s="45">
        <f t="shared" si="8"/>
        <v>394</v>
      </c>
      <c r="FG15" s="27">
        <f t="shared" si="8"/>
        <v>725.75</v>
      </c>
      <c r="FH15" s="27">
        <f t="shared" si="8"/>
        <v>271.18</v>
      </c>
      <c r="FI15" s="27">
        <f t="shared" si="8"/>
        <v>807.21</v>
      </c>
      <c r="FJ15" s="54">
        <f t="shared" si="8"/>
        <v>1</v>
      </c>
      <c r="FK15" s="45">
        <f t="shared" si="8"/>
        <v>80</v>
      </c>
      <c r="FL15" s="27">
        <f t="shared" si="8"/>
        <v>50182</v>
      </c>
      <c r="FM15" s="27">
        <f t="shared" si="8"/>
        <v>8237</v>
      </c>
      <c r="FN15" s="27">
        <f t="shared" si="8"/>
        <v>6410</v>
      </c>
      <c r="FO15" s="54">
        <f t="shared" si="8"/>
        <v>1.0001</v>
      </c>
    </row>
  </sheetData>
  <mergeCells count="137">
    <mergeCell ref="B2:F2"/>
    <mergeCell ref="G2:K2"/>
    <mergeCell ref="L2:P2"/>
    <mergeCell ref="Q2:U2"/>
    <mergeCell ref="V2:Z2"/>
    <mergeCell ref="AA2:AE2"/>
    <mergeCell ref="BT2:BX2"/>
    <mergeCell ref="BY2:CC2"/>
    <mergeCell ref="CD2:CH2"/>
    <mergeCell ref="CI2:CM2"/>
    <mergeCell ref="AF2:AJ2"/>
    <mergeCell ref="AK2:AO2"/>
    <mergeCell ref="AP2:AT2"/>
    <mergeCell ref="AU2:AY2"/>
    <mergeCell ref="AZ2:BD2"/>
    <mergeCell ref="BE2:BI2"/>
    <mergeCell ref="FA2:FE2"/>
    <mergeCell ref="FF2:FJ2"/>
    <mergeCell ref="DW2:EA2"/>
    <mergeCell ref="FK2:FO2"/>
    <mergeCell ref="B3:B4"/>
    <mergeCell ref="C3:E3"/>
    <mergeCell ref="F3:F4"/>
    <mergeCell ref="G3:G4"/>
    <mergeCell ref="H3:J3"/>
    <mergeCell ref="K3:K4"/>
    <mergeCell ref="L3:L4"/>
    <mergeCell ref="DR2:DV2"/>
    <mergeCell ref="EB2:EF2"/>
    <mergeCell ref="EG2:EK2"/>
    <mergeCell ref="EL2:EP2"/>
    <mergeCell ref="EQ2:EU2"/>
    <mergeCell ref="EV2:EZ2"/>
    <mergeCell ref="CN2:CR2"/>
    <mergeCell ref="CS2:CW2"/>
    <mergeCell ref="CX2:DB2"/>
    <mergeCell ref="DC2:DG2"/>
    <mergeCell ref="DH2:DL2"/>
    <mergeCell ref="DM2:DQ2"/>
    <mergeCell ref="BJ2:BN2"/>
    <mergeCell ref="BO2:BS2"/>
    <mergeCell ref="W3:Y3"/>
    <mergeCell ref="Z3:Z4"/>
    <mergeCell ref="AA3:AA4"/>
    <mergeCell ref="AB3:AD3"/>
    <mergeCell ref="AE3:AE4"/>
    <mergeCell ref="AF3:AF4"/>
    <mergeCell ref="M3:O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AY3:AY4"/>
    <mergeCell ref="AZ3:AZ4"/>
    <mergeCell ref="AG3:AI3"/>
    <mergeCell ref="AJ3:AJ4"/>
    <mergeCell ref="AK3:AK4"/>
    <mergeCell ref="AL3:AN3"/>
    <mergeCell ref="AO3:AO4"/>
    <mergeCell ref="AP3:AP4"/>
    <mergeCell ref="BK3:BM3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CY3:DA3"/>
    <mergeCell ref="DB3:DB4"/>
    <mergeCell ref="DC3:DC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EC3:EE3"/>
    <mergeCell ref="EF3:EF4"/>
    <mergeCell ref="EG3:EG4"/>
    <mergeCell ref="DI3:DK3"/>
    <mergeCell ref="DL3:DL4"/>
    <mergeCell ref="DM3:DM4"/>
    <mergeCell ref="DN3:DP3"/>
    <mergeCell ref="DQ3:DQ4"/>
    <mergeCell ref="DR3:DR4"/>
    <mergeCell ref="DW3:DW4"/>
    <mergeCell ref="DX3:DZ3"/>
    <mergeCell ref="EA3:EA4"/>
    <mergeCell ref="FL3:FN3"/>
    <mergeCell ref="FO3:FO4"/>
    <mergeCell ref="A3:A4"/>
    <mergeCell ref="FB3:FD3"/>
    <mergeCell ref="FE3:FE4"/>
    <mergeCell ref="FF3:FF4"/>
    <mergeCell ref="FG3:FI3"/>
    <mergeCell ref="FJ3:FJ4"/>
    <mergeCell ref="FK3:FK4"/>
    <mergeCell ref="ER3:ET3"/>
    <mergeCell ref="EU3:EU4"/>
    <mergeCell ref="EV3:EV4"/>
    <mergeCell ref="EW3:EY3"/>
    <mergeCell ref="EZ3:EZ4"/>
    <mergeCell ref="FA3:FA4"/>
    <mergeCell ref="EH3:EJ3"/>
    <mergeCell ref="EK3:EK4"/>
    <mergeCell ref="EL3:EL4"/>
    <mergeCell ref="EM3:EO3"/>
    <mergeCell ref="EP3:EP4"/>
    <mergeCell ref="EQ3:EQ4"/>
    <mergeCell ref="DS3:DU3"/>
    <mergeCell ref="DV3:DV4"/>
    <mergeCell ref="EB3:E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103" width="10.85546875" style="8" customWidth="1"/>
    <col min="104" max="16384" width="9.140625" style="8"/>
  </cols>
  <sheetData>
    <row r="1" spans="1:103" ht="18.75" x14ac:dyDescent="0.3">
      <c r="A1" s="10" t="s">
        <v>305</v>
      </c>
    </row>
    <row r="2" spans="1:103" x14ac:dyDescent="0.25">
      <c r="A2" s="8" t="s">
        <v>175</v>
      </c>
    </row>
    <row r="3" spans="1:103" x14ac:dyDescent="0.25">
      <c r="A3" s="1" t="s">
        <v>0</v>
      </c>
      <c r="B3" s="119" t="s">
        <v>1</v>
      </c>
      <c r="C3" s="119"/>
      <c r="D3" s="119"/>
      <c r="E3" s="119" t="s">
        <v>2</v>
      </c>
      <c r="F3" s="119"/>
      <c r="G3" s="119"/>
      <c r="H3" s="119" t="s">
        <v>3</v>
      </c>
      <c r="I3" s="119"/>
      <c r="J3" s="119"/>
      <c r="K3" s="119" t="s">
        <v>4</v>
      </c>
      <c r="L3" s="119"/>
      <c r="M3" s="119"/>
      <c r="N3" s="113" t="s">
        <v>5</v>
      </c>
      <c r="O3" s="113"/>
      <c r="P3" s="113"/>
      <c r="Q3" s="119" t="s">
        <v>6</v>
      </c>
      <c r="R3" s="119"/>
      <c r="S3" s="119"/>
      <c r="T3" s="119" t="s">
        <v>7</v>
      </c>
      <c r="U3" s="119"/>
      <c r="V3" s="119"/>
      <c r="W3" s="119" t="s">
        <v>8</v>
      </c>
      <c r="X3" s="119"/>
      <c r="Y3" s="119"/>
      <c r="Z3" s="119" t="s">
        <v>9</v>
      </c>
      <c r="AA3" s="119"/>
      <c r="AB3" s="119"/>
      <c r="AC3" s="119" t="s">
        <v>10</v>
      </c>
      <c r="AD3" s="119"/>
      <c r="AE3" s="119"/>
      <c r="AF3" s="119" t="s">
        <v>11</v>
      </c>
      <c r="AG3" s="119"/>
      <c r="AH3" s="119"/>
      <c r="AI3" s="119" t="s">
        <v>12</v>
      </c>
      <c r="AJ3" s="119"/>
      <c r="AK3" s="119"/>
      <c r="AL3" s="119" t="s">
        <v>13</v>
      </c>
      <c r="AM3" s="119"/>
      <c r="AN3" s="119"/>
      <c r="AO3" s="119" t="s">
        <v>14</v>
      </c>
      <c r="AP3" s="119"/>
      <c r="AQ3" s="119"/>
      <c r="AR3" s="119" t="s">
        <v>15</v>
      </c>
      <c r="AS3" s="119"/>
      <c r="AT3" s="119"/>
      <c r="AU3" s="119" t="s">
        <v>16</v>
      </c>
      <c r="AV3" s="119"/>
      <c r="AW3" s="119"/>
      <c r="AX3" s="119" t="s">
        <v>17</v>
      </c>
      <c r="AY3" s="119"/>
      <c r="AZ3" s="119"/>
      <c r="BA3" s="119" t="s">
        <v>18</v>
      </c>
      <c r="BB3" s="119"/>
      <c r="BC3" s="119"/>
      <c r="BD3" s="119" t="s">
        <v>19</v>
      </c>
      <c r="BE3" s="119"/>
      <c r="BF3" s="119"/>
      <c r="BG3" s="119" t="s">
        <v>20</v>
      </c>
      <c r="BH3" s="119"/>
      <c r="BI3" s="119"/>
      <c r="BJ3" s="119" t="s">
        <v>21</v>
      </c>
      <c r="BK3" s="119"/>
      <c r="BL3" s="119"/>
      <c r="BM3" s="119" t="s">
        <v>22</v>
      </c>
      <c r="BN3" s="119"/>
      <c r="BO3" s="119"/>
      <c r="BP3" s="119" t="s">
        <v>23</v>
      </c>
      <c r="BQ3" s="119"/>
      <c r="BR3" s="119"/>
      <c r="BS3" s="119" t="s">
        <v>24</v>
      </c>
      <c r="BT3" s="119"/>
      <c r="BU3" s="119"/>
      <c r="BV3" s="119" t="s">
        <v>25</v>
      </c>
      <c r="BW3" s="119"/>
      <c r="BX3" s="119"/>
      <c r="BY3" s="105" t="s">
        <v>26</v>
      </c>
      <c r="BZ3" s="120"/>
      <c r="CA3" s="106"/>
      <c r="CB3" s="119" t="s">
        <v>27</v>
      </c>
      <c r="CC3" s="119"/>
      <c r="CD3" s="119"/>
      <c r="CE3" s="119" t="s">
        <v>28</v>
      </c>
      <c r="CF3" s="119"/>
      <c r="CG3" s="119"/>
      <c r="CH3" s="119" t="s">
        <v>29</v>
      </c>
      <c r="CI3" s="119"/>
      <c r="CJ3" s="119"/>
      <c r="CK3" s="119" t="s">
        <v>30</v>
      </c>
      <c r="CL3" s="119"/>
      <c r="CM3" s="119"/>
      <c r="CN3" s="119" t="s">
        <v>31</v>
      </c>
      <c r="CO3" s="119"/>
      <c r="CP3" s="119"/>
      <c r="CQ3" s="119" t="s">
        <v>32</v>
      </c>
      <c r="CR3" s="119"/>
      <c r="CS3" s="119"/>
      <c r="CT3" s="119" t="s">
        <v>33</v>
      </c>
      <c r="CU3" s="119"/>
      <c r="CV3" s="119"/>
      <c r="CW3" s="119" t="s">
        <v>34</v>
      </c>
      <c r="CX3" s="119"/>
      <c r="CY3" s="119"/>
    </row>
    <row r="4" spans="1:103" x14ac:dyDescent="0.25">
      <c r="A4" s="11"/>
      <c r="B4" s="42" t="s">
        <v>162</v>
      </c>
      <c r="C4" s="42" t="s">
        <v>163</v>
      </c>
      <c r="D4" s="42" t="s">
        <v>164</v>
      </c>
      <c r="E4" s="42" t="s">
        <v>162</v>
      </c>
      <c r="F4" s="42" t="s">
        <v>163</v>
      </c>
      <c r="G4" s="42" t="s">
        <v>164</v>
      </c>
      <c r="H4" s="42" t="s">
        <v>162</v>
      </c>
      <c r="I4" s="42" t="s">
        <v>163</v>
      </c>
      <c r="J4" s="42" t="s">
        <v>164</v>
      </c>
      <c r="K4" s="42" t="s">
        <v>162</v>
      </c>
      <c r="L4" s="42" t="s">
        <v>163</v>
      </c>
      <c r="M4" s="42" t="s">
        <v>164</v>
      </c>
      <c r="N4" s="42" t="s">
        <v>162</v>
      </c>
      <c r="O4" s="42" t="s">
        <v>163</v>
      </c>
      <c r="P4" s="42" t="s">
        <v>164</v>
      </c>
      <c r="Q4" s="42" t="s">
        <v>162</v>
      </c>
      <c r="R4" s="42" t="s">
        <v>163</v>
      </c>
      <c r="S4" s="42" t="s">
        <v>164</v>
      </c>
      <c r="T4" s="42" t="s">
        <v>162</v>
      </c>
      <c r="U4" s="42" t="s">
        <v>163</v>
      </c>
      <c r="V4" s="42" t="s">
        <v>164</v>
      </c>
      <c r="W4" s="42" t="s">
        <v>162</v>
      </c>
      <c r="X4" s="42" t="s">
        <v>163</v>
      </c>
      <c r="Y4" s="42" t="s">
        <v>164</v>
      </c>
      <c r="Z4" s="42" t="s">
        <v>162</v>
      </c>
      <c r="AA4" s="42" t="s">
        <v>163</v>
      </c>
      <c r="AB4" s="42" t="s">
        <v>164</v>
      </c>
      <c r="AC4" s="42" t="s">
        <v>162</v>
      </c>
      <c r="AD4" s="42" t="s">
        <v>163</v>
      </c>
      <c r="AE4" s="42" t="s">
        <v>164</v>
      </c>
      <c r="AF4" s="42" t="s">
        <v>162</v>
      </c>
      <c r="AG4" s="42" t="s">
        <v>163</v>
      </c>
      <c r="AH4" s="42" t="s">
        <v>164</v>
      </c>
      <c r="AI4" s="42" t="s">
        <v>162</v>
      </c>
      <c r="AJ4" s="42" t="s">
        <v>163</v>
      </c>
      <c r="AK4" s="42" t="s">
        <v>164</v>
      </c>
      <c r="AL4" s="42" t="s">
        <v>162</v>
      </c>
      <c r="AM4" s="42" t="s">
        <v>163</v>
      </c>
      <c r="AN4" s="42" t="s">
        <v>164</v>
      </c>
      <c r="AO4" s="42" t="s">
        <v>162</v>
      </c>
      <c r="AP4" s="42" t="s">
        <v>163</v>
      </c>
      <c r="AQ4" s="42" t="s">
        <v>164</v>
      </c>
      <c r="AR4" s="42" t="s">
        <v>162</v>
      </c>
      <c r="AS4" s="42" t="s">
        <v>163</v>
      </c>
      <c r="AT4" s="42" t="s">
        <v>164</v>
      </c>
      <c r="AU4" s="42" t="s">
        <v>162</v>
      </c>
      <c r="AV4" s="42" t="s">
        <v>163</v>
      </c>
      <c r="AW4" s="42" t="s">
        <v>164</v>
      </c>
      <c r="AX4" s="42" t="s">
        <v>162</v>
      </c>
      <c r="AY4" s="42" t="s">
        <v>163</v>
      </c>
      <c r="AZ4" s="42" t="s">
        <v>164</v>
      </c>
      <c r="BA4" s="42" t="s">
        <v>162</v>
      </c>
      <c r="BB4" s="42" t="s">
        <v>163</v>
      </c>
      <c r="BC4" s="42" t="s">
        <v>164</v>
      </c>
      <c r="BD4" s="42" t="s">
        <v>162</v>
      </c>
      <c r="BE4" s="42" t="s">
        <v>163</v>
      </c>
      <c r="BF4" s="42" t="s">
        <v>164</v>
      </c>
      <c r="BG4" s="42" t="s">
        <v>162</v>
      </c>
      <c r="BH4" s="42" t="s">
        <v>163</v>
      </c>
      <c r="BI4" s="42" t="s">
        <v>164</v>
      </c>
      <c r="BJ4" s="42" t="s">
        <v>162</v>
      </c>
      <c r="BK4" s="42" t="s">
        <v>163</v>
      </c>
      <c r="BL4" s="42" t="s">
        <v>164</v>
      </c>
      <c r="BM4" s="42" t="s">
        <v>162</v>
      </c>
      <c r="BN4" s="42" t="s">
        <v>163</v>
      </c>
      <c r="BO4" s="42" t="s">
        <v>164</v>
      </c>
      <c r="BP4" s="42" t="s">
        <v>162</v>
      </c>
      <c r="BQ4" s="42" t="s">
        <v>163</v>
      </c>
      <c r="BR4" s="42" t="s">
        <v>164</v>
      </c>
      <c r="BS4" s="42" t="s">
        <v>162</v>
      </c>
      <c r="BT4" s="42" t="s">
        <v>163</v>
      </c>
      <c r="BU4" s="42" t="s">
        <v>164</v>
      </c>
      <c r="BV4" s="42" t="s">
        <v>162</v>
      </c>
      <c r="BW4" s="42" t="s">
        <v>163</v>
      </c>
      <c r="BX4" s="42" t="s">
        <v>164</v>
      </c>
      <c r="BY4" s="42" t="s">
        <v>162</v>
      </c>
      <c r="BZ4" s="42" t="s">
        <v>163</v>
      </c>
      <c r="CA4" s="42" t="s">
        <v>164</v>
      </c>
      <c r="CB4" s="42" t="s">
        <v>162</v>
      </c>
      <c r="CC4" s="42" t="s">
        <v>163</v>
      </c>
      <c r="CD4" s="42" t="s">
        <v>164</v>
      </c>
      <c r="CE4" s="42" t="s">
        <v>162</v>
      </c>
      <c r="CF4" s="42" t="s">
        <v>163</v>
      </c>
      <c r="CG4" s="42" t="s">
        <v>164</v>
      </c>
      <c r="CH4" s="42" t="s">
        <v>162</v>
      </c>
      <c r="CI4" s="42" t="s">
        <v>163</v>
      </c>
      <c r="CJ4" s="42" t="s">
        <v>164</v>
      </c>
      <c r="CK4" s="42" t="s">
        <v>162</v>
      </c>
      <c r="CL4" s="42" t="s">
        <v>163</v>
      </c>
      <c r="CM4" s="42" t="s">
        <v>164</v>
      </c>
      <c r="CN4" s="42" t="s">
        <v>162</v>
      </c>
      <c r="CO4" s="42" t="s">
        <v>163</v>
      </c>
      <c r="CP4" s="42" t="s">
        <v>164</v>
      </c>
      <c r="CQ4" s="42" t="s">
        <v>162</v>
      </c>
      <c r="CR4" s="42" t="s">
        <v>163</v>
      </c>
      <c r="CS4" s="42" t="s">
        <v>164</v>
      </c>
      <c r="CT4" s="42" t="s">
        <v>162</v>
      </c>
      <c r="CU4" s="42" t="s">
        <v>163</v>
      </c>
      <c r="CV4" s="42" t="s">
        <v>164</v>
      </c>
      <c r="CW4" s="42" t="s">
        <v>162</v>
      </c>
      <c r="CX4" s="42" t="s">
        <v>163</v>
      </c>
      <c r="CY4" s="42" t="s">
        <v>164</v>
      </c>
    </row>
    <row r="5" spans="1:103" x14ac:dyDescent="0.25">
      <c r="A5" s="11" t="s">
        <v>165</v>
      </c>
      <c r="B5" s="11">
        <v>6</v>
      </c>
      <c r="C5" s="11">
        <f>D5-B5</f>
        <v>2540</v>
      </c>
      <c r="D5" s="11">
        <v>2546</v>
      </c>
      <c r="E5" s="11"/>
      <c r="F5" s="11">
        <f>G5-E5</f>
        <v>4082</v>
      </c>
      <c r="G5" s="38">
        <v>4082</v>
      </c>
      <c r="H5" s="11"/>
      <c r="I5" s="11">
        <f>J5-H5</f>
        <v>4790622</v>
      </c>
      <c r="J5" s="11">
        <v>4790622</v>
      </c>
      <c r="K5" s="11"/>
      <c r="L5" s="11">
        <f>M5-K5</f>
        <v>21923</v>
      </c>
      <c r="M5" s="11">
        <v>21923</v>
      </c>
      <c r="N5" s="11"/>
      <c r="O5" s="11">
        <f>P5-N5</f>
        <v>179981</v>
      </c>
      <c r="P5" s="11">
        <v>179981</v>
      </c>
      <c r="Q5" s="11">
        <v>13246</v>
      </c>
      <c r="R5" s="11">
        <f>S5-Q5</f>
        <v>22007</v>
      </c>
      <c r="S5" s="11">
        <v>35253</v>
      </c>
      <c r="T5" s="11">
        <v>28677</v>
      </c>
      <c r="U5" s="11">
        <f>V5-T5</f>
        <v>33934</v>
      </c>
      <c r="V5" s="11">
        <v>62611</v>
      </c>
      <c r="W5" s="11"/>
      <c r="X5" s="11">
        <f>Y5-W5</f>
        <v>3566</v>
      </c>
      <c r="Y5" s="11">
        <v>3566</v>
      </c>
      <c r="Z5" s="11">
        <v>6</v>
      </c>
      <c r="AA5" s="11">
        <f>AB5-Z5</f>
        <v>661</v>
      </c>
      <c r="AB5" s="11">
        <v>667</v>
      </c>
      <c r="AC5" s="11">
        <v>3</v>
      </c>
      <c r="AD5" s="11">
        <f>AE5-AC5</f>
        <v>8</v>
      </c>
      <c r="AE5" s="11">
        <v>11</v>
      </c>
      <c r="AF5" s="11"/>
      <c r="AG5" s="11">
        <f>AH5-AF5</f>
        <v>1009</v>
      </c>
      <c r="AH5" s="11">
        <v>1009</v>
      </c>
      <c r="AI5" s="11">
        <v>8322</v>
      </c>
      <c r="AJ5" s="11">
        <f>AK5-AI5</f>
        <v>29063</v>
      </c>
      <c r="AK5" s="11">
        <v>37385</v>
      </c>
      <c r="AL5" s="11">
        <v>599</v>
      </c>
      <c r="AM5" s="11">
        <f>AN5-AL5</f>
        <v>6173</v>
      </c>
      <c r="AN5" s="11">
        <v>6772</v>
      </c>
      <c r="AO5" s="11">
        <v>27910</v>
      </c>
      <c r="AP5" s="11">
        <f>AQ5-AO5</f>
        <v>41322</v>
      </c>
      <c r="AQ5" s="11">
        <v>69232</v>
      </c>
      <c r="AR5" s="11">
        <v>54012</v>
      </c>
      <c r="AS5" s="11">
        <f>AT5-AR5</f>
        <v>175932</v>
      </c>
      <c r="AT5" s="11">
        <v>229944</v>
      </c>
      <c r="AU5" s="11">
        <v>33844</v>
      </c>
      <c r="AV5" s="11">
        <f>AW5-AU5</f>
        <v>40460</v>
      </c>
      <c r="AW5" s="11">
        <v>74304</v>
      </c>
      <c r="AX5" s="11">
        <v>458</v>
      </c>
      <c r="AY5" s="11">
        <f>AZ5-AX5</f>
        <v>1723</v>
      </c>
      <c r="AZ5" s="11">
        <v>2181</v>
      </c>
      <c r="BA5" s="11">
        <v>3626</v>
      </c>
      <c r="BB5" s="11">
        <f>BC5-BA5</f>
        <v>11571</v>
      </c>
      <c r="BC5" s="11">
        <v>15197</v>
      </c>
      <c r="BD5" s="11">
        <v>5546</v>
      </c>
      <c r="BE5" s="11">
        <f>BF5-BD5</f>
        <v>5226</v>
      </c>
      <c r="BF5" s="11">
        <v>10772</v>
      </c>
      <c r="BG5" s="11"/>
      <c r="BH5" s="11">
        <f>BI5-BG5</f>
        <v>4225</v>
      </c>
      <c r="BI5" s="11">
        <v>4225</v>
      </c>
      <c r="BJ5" s="11">
        <v>116275</v>
      </c>
      <c r="BK5" s="11">
        <f>BL5-BJ5</f>
        <v>531626</v>
      </c>
      <c r="BL5" s="11">
        <v>647901</v>
      </c>
      <c r="BM5" s="11">
        <v>143031</v>
      </c>
      <c r="BN5" s="11">
        <f>BO5-BM5</f>
        <v>166475</v>
      </c>
      <c r="BO5" s="11">
        <v>309506</v>
      </c>
      <c r="BP5" s="11">
        <v>99349</v>
      </c>
      <c r="BQ5" s="11">
        <f>BR5-BP5</f>
        <v>250003</v>
      </c>
      <c r="BR5" s="11">
        <v>349352</v>
      </c>
      <c r="BS5" s="11">
        <v>340</v>
      </c>
      <c r="BT5" s="11">
        <f>BU5-BS5</f>
        <v>225</v>
      </c>
      <c r="BU5" s="11">
        <v>565</v>
      </c>
      <c r="BV5" s="11">
        <v>64140</v>
      </c>
      <c r="BW5" s="11">
        <f>BX5-BV5</f>
        <v>198703</v>
      </c>
      <c r="BX5" s="11">
        <v>262843</v>
      </c>
      <c r="BY5" s="11"/>
      <c r="BZ5" s="11">
        <f>CA5-BY5</f>
        <v>29</v>
      </c>
      <c r="CA5" s="11">
        <v>29</v>
      </c>
      <c r="CB5" s="11"/>
      <c r="CC5" s="11">
        <f>CD5-CB5</f>
        <v>6814</v>
      </c>
      <c r="CD5" s="11">
        <v>6814</v>
      </c>
      <c r="CE5" s="11">
        <v>19963</v>
      </c>
      <c r="CF5" s="11">
        <f>CG5-CE5</f>
        <v>26811</v>
      </c>
      <c r="CG5" s="11">
        <v>46774</v>
      </c>
      <c r="CH5" s="11">
        <v>7302</v>
      </c>
      <c r="CI5" s="11">
        <f>CJ5-CH5</f>
        <v>28991</v>
      </c>
      <c r="CJ5" s="11">
        <v>36293</v>
      </c>
      <c r="CK5" s="11">
        <v>44218</v>
      </c>
      <c r="CL5" s="11">
        <f>CM5-CK5</f>
        <v>15592</v>
      </c>
      <c r="CM5" s="11">
        <v>59810</v>
      </c>
      <c r="CN5" s="11"/>
      <c r="CO5" s="11">
        <f>CP5-CN5</f>
        <v>56406</v>
      </c>
      <c r="CP5" s="11">
        <v>56406</v>
      </c>
      <c r="CQ5" s="11">
        <v>17987</v>
      </c>
      <c r="CR5" s="11">
        <f>CS5-CQ5</f>
        <v>71275</v>
      </c>
      <c r="CS5" s="32">
        <v>89262</v>
      </c>
      <c r="CT5" s="11">
        <v>175849</v>
      </c>
      <c r="CU5" s="11">
        <f>CV5-CT5</f>
        <v>619785</v>
      </c>
      <c r="CV5" s="11">
        <v>795634</v>
      </c>
      <c r="CW5" s="11">
        <v>6929</v>
      </c>
      <c r="CX5" s="11">
        <f>CY5-CW5</f>
        <v>4270</v>
      </c>
      <c r="CY5" s="11">
        <v>11199</v>
      </c>
    </row>
    <row r="6" spans="1:103" x14ac:dyDescent="0.25">
      <c r="A6" s="11" t="s">
        <v>166</v>
      </c>
      <c r="B6" s="11">
        <v>59</v>
      </c>
      <c r="C6" s="11">
        <f t="shared" ref="C6:C14" si="0">D6-B6</f>
        <v>89200</v>
      </c>
      <c r="D6" s="11">
        <v>89259</v>
      </c>
      <c r="E6" s="11"/>
      <c r="F6" s="11">
        <f t="shared" ref="F6:F14" si="1">G6-E6</f>
        <v>51200</v>
      </c>
      <c r="G6" s="38">
        <v>51200</v>
      </c>
      <c r="H6" s="11"/>
      <c r="I6" s="11">
        <f t="shared" ref="I6:I14" si="2">J6-H6</f>
        <v>254711</v>
      </c>
      <c r="J6" s="11">
        <v>254711</v>
      </c>
      <c r="K6" s="11"/>
      <c r="L6" s="11">
        <f t="shared" ref="L6:L14" si="3">M6-K6</f>
        <v>220577</v>
      </c>
      <c r="M6" s="11">
        <v>220577</v>
      </c>
      <c r="N6" s="11"/>
      <c r="O6" s="11">
        <f t="shared" ref="O6:O14" si="4">P6-N6</f>
        <v>1554770</v>
      </c>
      <c r="P6" s="11">
        <v>1554770</v>
      </c>
      <c r="Q6" s="11">
        <v>1206</v>
      </c>
      <c r="R6" s="11">
        <f t="shared" ref="R6:R14" si="5">S6-Q6</f>
        <v>73126</v>
      </c>
      <c r="S6" s="11">
        <v>74332</v>
      </c>
      <c r="T6" s="11">
        <v>4339</v>
      </c>
      <c r="U6" s="11">
        <f t="shared" ref="U6:U14" si="6">V6-T6</f>
        <v>69503</v>
      </c>
      <c r="V6" s="11">
        <v>73842</v>
      </c>
      <c r="W6" s="11"/>
      <c r="X6" s="11">
        <f t="shared" ref="X6:X14" si="7">Y6-W6</f>
        <v>56194</v>
      </c>
      <c r="Y6" s="11">
        <v>56194</v>
      </c>
      <c r="Z6" s="11">
        <v>15</v>
      </c>
      <c r="AA6" s="11">
        <f t="shared" ref="AA6:AA14" si="8">AB6-Z6</f>
        <v>2929</v>
      </c>
      <c r="AB6" s="11">
        <v>2944</v>
      </c>
      <c r="AC6" s="11">
        <v>51</v>
      </c>
      <c r="AD6" s="11">
        <f t="shared" ref="AD6:AD14" si="9">AE6-AC6</f>
        <v>785</v>
      </c>
      <c r="AE6" s="11">
        <v>836</v>
      </c>
      <c r="AF6" s="11"/>
      <c r="AG6" s="11">
        <f t="shared" ref="AG6:AG14" si="10">AH6-AF6</f>
        <v>476</v>
      </c>
      <c r="AH6" s="11">
        <v>476</v>
      </c>
      <c r="AI6" s="11">
        <v>976</v>
      </c>
      <c r="AJ6" s="11">
        <f t="shared" ref="AJ6:AJ14" si="11">AK6-AI6</f>
        <v>65254</v>
      </c>
      <c r="AK6" s="11">
        <v>66230</v>
      </c>
      <c r="AL6" s="11">
        <v>436</v>
      </c>
      <c r="AM6" s="11">
        <f t="shared" ref="AM6:AM14" si="12">AN6-AL6</f>
        <v>36905</v>
      </c>
      <c r="AN6" s="11">
        <v>37341</v>
      </c>
      <c r="AO6" s="11">
        <v>3122</v>
      </c>
      <c r="AP6" s="11">
        <f t="shared" ref="AP6:AP14" si="13">AQ6-AO6</f>
        <v>419828</v>
      </c>
      <c r="AQ6" s="11">
        <v>422950</v>
      </c>
      <c r="AR6" s="11">
        <v>6532</v>
      </c>
      <c r="AS6" s="11">
        <f t="shared" ref="AS6:AS14" si="14">AT6-AR6</f>
        <v>466508</v>
      </c>
      <c r="AT6" s="11">
        <v>473040</v>
      </c>
      <c r="AU6" s="11">
        <v>9693</v>
      </c>
      <c r="AV6" s="11">
        <f t="shared" ref="AV6:AV14" si="15">AW6-AU6</f>
        <v>459008</v>
      </c>
      <c r="AW6" s="11">
        <v>468701</v>
      </c>
      <c r="AX6" s="11">
        <v>93</v>
      </c>
      <c r="AY6" s="11">
        <f t="shared" ref="AY6:AY14" si="16">AZ6-AX6</f>
        <v>12261</v>
      </c>
      <c r="AZ6" s="11">
        <v>12354</v>
      </c>
      <c r="BA6" s="11">
        <v>644</v>
      </c>
      <c r="BB6" s="11">
        <f t="shared" ref="BB6:BB14" si="17">BC6-BA6</f>
        <v>62969</v>
      </c>
      <c r="BC6" s="11">
        <v>63613</v>
      </c>
      <c r="BD6" s="11">
        <v>1029</v>
      </c>
      <c r="BE6" s="11">
        <f t="shared" ref="BE6:BE14" si="18">BF6-BD6</f>
        <v>20995</v>
      </c>
      <c r="BF6" s="11">
        <v>22024</v>
      </c>
      <c r="BG6" s="11"/>
      <c r="BH6" s="11">
        <f t="shared" ref="BH6:BH14" si="19">BI6-BG6</f>
        <v>36038</v>
      </c>
      <c r="BI6" s="11">
        <v>36038</v>
      </c>
      <c r="BJ6" s="11">
        <v>6498</v>
      </c>
      <c r="BK6" s="11">
        <f t="shared" ref="BK6:BK14" si="20">BL6-BJ6</f>
        <v>1039765</v>
      </c>
      <c r="BL6" s="11">
        <v>1046263</v>
      </c>
      <c r="BM6" s="11">
        <v>39876</v>
      </c>
      <c r="BN6" s="11">
        <f t="shared" ref="BN6:BN14" si="21">BO6-BM6</f>
        <v>2917178</v>
      </c>
      <c r="BO6" s="11">
        <v>2957054</v>
      </c>
      <c r="BP6" s="11">
        <v>18128</v>
      </c>
      <c r="BQ6" s="11">
        <f t="shared" ref="BQ6:BQ14" si="22">BR6-BP6</f>
        <v>706949</v>
      </c>
      <c r="BR6" s="11">
        <v>725077</v>
      </c>
      <c r="BS6" s="11">
        <v>88</v>
      </c>
      <c r="BT6" s="11">
        <f t="shared" ref="BT6:BT14" si="23">BU6-BS6</f>
        <v>60</v>
      </c>
      <c r="BU6" s="11">
        <v>148</v>
      </c>
      <c r="BV6" s="11">
        <v>4529</v>
      </c>
      <c r="BW6" s="11">
        <f t="shared" ref="BW6:BW14" si="24">BX6-BV6</f>
        <v>543372</v>
      </c>
      <c r="BX6" s="11">
        <v>547901</v>
      </c>
      <c r="BY6" s="11"/>
      <c r="BZ6" s="11">
        <f t="shared" ref="BZ6:BZ12" si="25">CA6-BY6</f>
        <v>209</v>
      </c>
      <c r="CA6" s="11">
        <v>209</v>
      </c>
      <c r="CB6" s="11"/>
      <c r="CC6" s="11">
        <f t="shared" ref="CC6:CC14" si="26">CD6-CB6</f>
        <v>392175</v>
      </c>
      <c r="CD6" s="11">
        <v>392175</v>
      </c>
      <c r="CE6" s="11">
        <v>2354</v>
      </c>
      <c r="CF6" s="11">
        <f t="shared" ref="CF6:CF14" si="27">CG6-CE6</f>
        <v>125348</v>
      </c>
      <c r="CG6" s="11">
        <v>127702</v>
      </c>
      <c r="CH6" s="11">
        <v>797</v>
      </c>
      <c r="CI6" s="11">
        <f t="shared" ref="CI6:CI14" si="28">CJ6-CH6</f>
        <v>84625</v>
      </c>
      <c r="CJ6" s="11">
        <v>85422</v>
      </c>
      <c r="CK6" s="11">
        <v>4321</v>
      </c>
      <c r="CL6" s="11">
        <f t="shared" ref="CL6:CL14" si="29">CM6-CK6</f>
        <v>63278</v>
      </c>
      <c r="CM6" s="11">
        <v>67599</v>
      </c>
      <c r="CN6" s="11"/>
      <c r="CO6" s="11">
        <f t="shared" ref="CO6:CO14" si="30">CP6-CN6</f>
        <v>298827</v>
      </c>
      <c r="CP6" s="11">
        <v>298827</v>
      </c>
      <c r="CQ6" s="11">
        <v>3626</v>
      </c>
      <c r="CR6" s="11">
        <f t="shared" ref="CR6:CR14" si="31">CS6-CQ6</f>
        <v>321714</v>
      </c>
      <c r="CS6" s="11">
        <v>325340</v>
      </c>
      <c r="CT6" s="11">
        <v>17322</v>
      </c>
      <c r="CU6" s="11">
        <f t="shared" ref="CU6:CU14" si="32">CV6-CT6</f>
        <v>1140769</v>
      </c>
      <c r="CV6" s="11">
        <v>1158091</v>
      </c>
      <c r="CW6" s="11">
        <v>1157</v>
      </c>
      <c r="CX6" s="11">
        <f t="shared" ref="CX6:CX14" si="33">CY6-CW6</f>
        <v>86616</v>
      </c>
      <c r="CY6" s="11">
        <v>87773</v>
      </c>
    </row>
    <row r="7" spans="1:103" x14ac:dyDescent="0.25">
      <c r="A7" s="11" t="s">
        <v>167</v>
      </c>
      <c r="B7" s="11">
        <v>9</v>
      </c>
      <c r="C7" s="11">
        <f t="shared" si="0"/>
        <v>59188</v>
      </c>
      <c r="D7" s="11">
        <v>59197</v>
      </c>
      <c r="E7" s="11"/>
      <c r="F7" s="11">
        <f t="shared" si="1"/>
        <v>33498</v>
      </c>
      <c r="G7" s="38">
        <v>33498</v>
      </c>
      <c r="H7" s="11"/>
      <c r="I7" s="11">
        <f t="shared" si="2"/>
        <v>1380291</v>
      </c>
      <c r="J7" s="11">
        <v>1380291</v>
      </c>
      <c r="K7" s="11"/>
      <c r="L7" s="11">
        <f t="shared" si="3"/>
        <v>189201</v>
      </c>
      <c r="M7" s="11">
        <v>189201</v>
      </c>
      <c r="N7" s="11"/>
      <c r="O7" s="11">
        <f t="shared" si="4"/>
        <v>1376711</v>
      </c>
      <c r="P7" s="11">
        <v>1376711</v>
      </c>
      <c r="Q7" s="11">
        <v>852</v>
      </c>
      <c r="R7" s="11">
        <f t="shared" si="5"/>
        <v>66658</v>
      </c>
      <c r="S7" s="11">
        <v>67510</v>
      </c>
      <c r="T7" s="11">
        <v>4525</v>
      </c>
      <c r="U7" s="11">
        <f t="shared" si="6"/>
        <v>59733</v>
      </c>
      <c r="V7" s="11">
        <v>64258</v>
      </c>
      <c r="W7" s="11"/>
      <c r="X7" s="11">
        <f t="shared" si="7"/>
        <v>47817</v>
      </c>
      <c r="Y7" s="11">
        <v>47817</v>
      </c>
      <c r="Z7" s="11"/>
      <c r="AA7" s="11">
        <f t="shared" si="8"/>
        <v>2415</v>
      </c>
      <c r="AB7" s="11">
        <v>2415</v>
      </c>
      <c r="AC7" s="11"/>
      <c r="AD7" s="11">
        <f t="shared" si="9"/>
        <v>658</v>
      </c>
      <c r="AE7" s="11">
        <v>658</v>
      </c>
      <c r="AF7" s="11"/>
      <c r="AG7" s="11">
        <f t="shared" si="10"/>
        <v>164</v>
      </c>
      <c r="AH7" s="11">
        <v>164</v>
      </c>
      <c r="AI7" s="11">
        <v>989</v>
      </c>
      <c r="AJ7" s="11">
        <f t="shared" si="11"/>
        <v>55498</v>
      </c>
      <c r="AK7" s="11">
        <v>56487</v>
      </c>
      <c r="AL7" s="11">
        <v>143</v>
      </c>
      <c r="AM7" s="11">
        <f t="shared" si="12"/>
        <v>31210</v>
      </c>
      <c r="AN7" s="11">
        <v>31353</v>
      </c>
      <c r="AO7" s="11">
        <v>681</v>
      </c>
      <c r="AP7" s="11">
        <f t="shared" si="13"/>
        <v>402981</v>
      </c>
      <c r="AQ7" s="11">
        <v>403662</v>
      </c>
      <c r="AR7" s="11">
        <v>6573</v>
      </c>
      <c r="AS7" s="11">
        <f t="shared" si="14"/>
        <v>418467</v>
      </c>
      <c r="AT7" s="11">
        <v>425040</v>
      </c>
      <c r="AU7" s="11">
        <v>9095</v>
      </c>
      <c r="AV7" s="11">
        <f t="shared" si="15"/>
        <v>426440</v>
      </c>
      <c r="AW7" s="11">
        <v>435535</v>
      </c>
      <c r="AX7" s="11">
        <v>14</v>
      </c>
      <c r="AY7" s="11">
        <f t="shared" si="16"/>
        <v>9816</v>
      </c>
      <c r="AZ7" s="11">
        <v>9830</v>
      </c>
      <c r="BA7" s="11">
        <v>187</v>
      </c>
      <c r="BB7" s="11">
        <f t="shared" si="17"/>
        <v>54203</v>
      </c>
      <c r="BC7" s="11">
        <v>54390</v>
      </c>
      <c r="BD7" s="11">
        <v>550</v>
      </c>
      <c r="BE7" s="11">
        <f t="shared" si="18"/>
        <v>18696</v>
      </c>
      <c r="BF7" s="11">
        <v>19246</v>
      </c>
      <c r="BG7" s="11"/>
      <c r="BH7" s="11">
        <f t="shared" si="19"/>
        <v>32436</v>
      </c>
      <c r="BI7" s="11">
        <v>32436</v>
      </c>
      <c r="BJ7" s="11">
        <v>25171</v>
      </c>
      <c r="BK7" s="11">
        <f t="shared" si="20"/>
        <v>707162</v>
      </c>
      <c r="BL7" s="11">
        <v>732333</v>
      </c>
      <c r="BM7" s="11">
        <v>30976</v>
      </c>
      <c r="BN7" s="11">
        <f t="shared" si="21"/>
        <v>2747966</v>
      </c>
      <c r="BO7" s="11">
        <v>2778942</v>
      </c>
      <c r="BP7" s="11">
        <v>18645</v>
      </c>
      <c r="BQ7" s="11">
        <f t="shared" si="22"/>
        <v>709132</v>
      </c>
      <c r="BR7" s="11">
        <v>727777</v>
      </c>
      <c r="BS7" s="11">
        <v>35</v>
      </c>
      <c r="BT7" s="11">
        <f t="shared" si="23"/>
        <v>29</v>
      </c>
      <c r="BU7" s="11">
        <v>64</v>
      </c>
      <c r="BV7" s="11">
        <v>4519</v>
      </c>
      <c r="BW7" s="11">
        <f t="shared" si="24"/>
        <v>457628</v>
      </c>
      <c r="BX7" s="11">
        <v>462147</v>
      </c>
      <c r="BY7" s="11"/>
      <c r="BZ7" s="11">
        <f t="shared" si="25"/>
        <v>80</v>
      </c>
      <c r="CA7" s="11">
        <v>80</v>
      </c>
      <c r="CB7" s="11"/>
      <c r="CC7" s="11">
        <f t="shared" si="26"/>
        <v>371768</v>
      </c>
      <c r="CD7" s="11">
        <v>371768</v>
      </c>
      <c r="CE7" s="11">
        <v>1827</v>
      </c>
      <c r="CF7" s="11">
        <f t="shared" si="27"/>
        <v>122932</v>
      </c>
      <c r="CG7" s="11">
        <v>124759</v>
      </c>
      <c r="CH7" s="11">
        <v>954</v>
      </c>
      <c r="CI7" s="11">
        <f t="shared" si="28"/>
        <v>67305</v>
      </c>
      <c r="CJ7" s="11">
        <v>68259</v>
      </c>
      <c r="CK7" s="11">
        <v>3728</v>
      </c>
      <c r="CL7" s="11">
        <f t="shared" si="29"/>
        <v>43072</v>
      </c>
      <c r="CM7" s="11">
        <v>46800</v>
      </c>
      <c r="CN7" s="11"/>
      <c r="CO7" s="11">
        <f t="shared" si="30"/>
        <v>221664</v>
      </c>
      <c r="CP7" s="11">
        <v>221664</v>
      </c>
      <c r="CQ7" s="11">
        <v>2201</v>
      </c>
      <c r="CR7" s="11">
        <f t="shared" si="31"/>
        <v>260652</v>
      </c>
      <c r="CS7" s="11">
        <v>262853</v>
      </c>
      <c r="CT7" s="11">
        <v>13956</v>
      </c>
      <c r="CU7" s="11">
        <f t="shared" si="32"/>
        <v>1016182</v>
      </c>
      <c r="CV7" s="11">
        <v>1030138</v>
      </c>
      <c r="CW7" s="11">
        <v>619</v>
      </c>
      <c r="CX7" s="11">
        <f t="shared" si="33"/>
        <v>71694</v>
      </c>
      <c r="CY7" s="11">
        <v>72313</v>
      </c>
    </row>
    <row r="8" spans="1:103" x14ac:dyDescent="0.25">
      <c r="A8" s="11" t="s">
        <v>168</v>
      </c>
      <c r="B8" s="11"/>
      <c r="C8" s="11">
        <f t="shared" si="0"/>
        <v>1511</v>
      </c>
      <c r="D8" s="11">
        <v>1511</v>
      </c>
      <c r="E8" s="11"/>
      <c r="F8" s="11">
        <f t="shared" si="1"/>
        <v>13048</v>
      </c>
      <c r="G8" s="11">
        <v>13048</v>
      </c>
      <c r="H8" s="11"/>
      <c r="I8" s="11">
        <f t="shared" si="2"/>
        <v>6586</v>
      </c>
      <c r="J8" s="11">
        <v>6586</v>
      </c>
      <c r="K8" s="11"/>
      <c r="L8" s="11">
        <f t="shared" si="3"/>
        <v>16893</v>
      </c>
      <c r="M8" s="11">
        <v>16893</v>
      </c>
      <c r="N8" s="11"/>
      <c r="O8" s="11">
        <f t="shared" si="4"/>
        <v>13780</v>
      </c>
      <c r="P8" s="11">
        <v>13780</v>
      </c>
      <c r="Q8" s="11">
        <v>0</v>
      </c>
      <c r="R8" s="11">
        <f t="shared" si="5"/>
        <v>1922</v>
      </c>
      <c r="S8" s="11">
        <v>1922</v>
      </c>
      <c r="U8" s="11">
        <f t="shared" si="6"/>
        <v>4997</v>
      </c>
      <c r="V8" s="11">
        <v>4997</v>
      </c>
      <c r="W8" s="11"/>
      <c r="X8" s="11">
        <f t="shared" si="7"/>
        <v>8037</v>
      </c>
      <c r="Y8" s="11">
        <v>8037</v>
      </c>
      <c r="Z8" s="11"/>
      <c r="AA8" s="11">
        <f t="shared" si="8"/>
        <v>19</v>
      </c>
      <c r="AB8" s="11">
        <v>19</v>
      </c>
      <c r="AC8" s="11"/>
      <c r="AD8" s="11">
        <f t="shared" si="9"/>
        <v>17</v>
      </c>
      <c r="AE8" s="11">
        <v>17</v>
      </c>
      <c r="AF8" s="11"/>
      <c r="AG8" s="11">
        <f t="shared" si="10"/>
        <v>397</v>
      </c>
      <c r="AH8" s="11">
        <v>397</v>
      </c>
      <c r="AI8" s="11">
        <v>161</v>
      </c>
      <c r="AJ8" s="11">
        <f t="shared" si="11"/>
        <v>3429</v>
      </c>
      <c r="AK8" s="11">
        <v>3590</v>
      </c>
      <c r="AL8" s="11">
        <v>4</v>
      </c>
      <c r="AM8" s="11">
        <f t="shared" si="12"/>
        <v>3671</v>
      </c>
      <c r="AN8" s="11">
        <v>3675</v>
      </c>
      <c r="AO8" s="11">
        <v>341</v>
      </c>
      <c r="AP8" s="11">
        <f t="shared" si="13"/>
        <v>4471</v>
      </c>
      <c r="AQ8" s="11">
        <v>4812</v>
      </c>
      <c r="AR8" s="11">
        <v>743</v>
      </c>
      <c r="AS8" s="11">
        <f t="shared" si="14"/>
        <v>25946</v>
      </c>
      <c r="AT8" s="11">
        <v>26689</v>
      </c>
      <c r="AU8" s="11">
        <v>0</v>
      </c>
      <c r="AV8" s="11">
        <f t="shared" si="15"/>
        <v>23871</v>
      </c>
      <c r="AW8" s="11">
        <v>23871</v>
      </c>
      <c r="AX8" s="11">
        <v>6</v>
      </c>
      <c r="AY8" s="11">
        <f t="shared" si="16"/>
        <v>1219</v>
      </c>
      <c r="AZ8" s="11">
        <v>1225</v>
      </c>
      <c r="BA8" s="11">
        <v>0</v>
      </c>
      <c r="BB8" s="11">
        <f t="shared" si="17"/>
        <v>3807</v>
      </c>
      <c r="BC8" s="11">
        <v>3807</v>
      </c>
      <c r="BD8" s="11"/>
      <c r="BE8" s="11">
        <f t="shared" si="18"/>
        <v>560</v>
      </c>
      <c r="BF8" s="11">
        <v>560</v>
      </c>
      <c r="BG8" s="11"/>
      <c r="BH8" s="11">
        <f t="shared" si="19"/>
        <v>2961</v>
      </c>
      <c r="BI8" s="11">
        <v>2961</v>
      </c>
      <c r="BJ8" s="11">
        <v>2380</v>
      </c>
      <c r="BK8" s="11">
        <f t="shared" si="20"/>
        <v>56951</v>
      </c>
      <c r="BL8" s="11">
        <v>59331</v>
      </c>
      <c r="BM8" s="11">
        <v>272</v>
      </c>
      <c r="BN8" s="11">
        <f t="shared" si="21"/>
        <v>123542</v>
      </c>
      <c r="BO8" s="11">
        <v>123814</v>
      </c>
      <c r="BP8" s="11">
        <v>719</v>
      </c>
      <c r="BQ8" s="11">
        <f t="shared" si="22"/>
        <v>30555</v>
      </c>
      <c r="BR8" s="11">
        <v>31274</v>
      </c>
      <c r="BS8" s="11"/>
      <c r="BT8" s="11">
        <f t="shared" si="23"/>
        <v>0</v>
      </c>
      <c r="BU8" s="11">
        <v>0</v>
      </c>
      <c r="BV8" s="11">
        <v>49</v>
      </c>
      <c r="BW8" s="11">
        <f t="shared" si="24"/>
        <v>10406</v>
      </c>
      <c r="BX8" s="11">
        <v>10455</v>
      </c>
      <c r="BY8" s="11"/>
      <c r="BZ8" s="11">
        <f t="shared" si="25"/>
        <v>67</v>
      </c>
      <c r="CA8" s="11">
        <v>67</v>
      </c>
      <c r="CB8" s="11"/>
      <c r="CC8" s="11">
        <f t="shared" si="26"/>
        <v>17635</v>
      </c>
      <c r="CD8" s="11">
        <v>17635</v>
      </c>
      <c r="CE8" s="11"/>
      <c r="CF8" s="11">
        <f t="shared" si="27"/>
        <v>2623</v>
      </c>
      <c r="CG8" s="11">
        <v>2623</v>
      </c>
      <c r="CH8" s="11"/>
      <c r="CI8" s="11">
        <f t="shared" si="28"/>
        <v>1976</v>
      </c>
      <c r="CJ8" s="11">
        <v>1976</v>
      </c>
      <c r="CK8" s="11">
        <v>770</v>
      </c>
      <c r="CL8" s="11">
        <f t="shared" si="29"/>
        <v>1267</v>
      </c>
      <c r="CM8" s="11">
        <v>2037</v>
      </c>
      <c r="CN8" s="11"/>
      <c r="CO8" s="11">
        <f t="shared" si="30"/>
        <v>43580</v>
      </c>
      <c r="CP8" s="11">
        <v>43580</v>
      </c>
      <c r="CQ8" s="11"/>
      <c r="CR8" s="11">
        <f t="shared" si="31"/>
        <v>7659</v>
      </c>
      <c r="CS8" s="11">
        <v>7659</v>
      </c>
      <c r="CT8" s="11">
        <v>2428</v>
      </c>
      <c r="CU8" s="11">
        <f t="shared" si="32"/>
        <v>81572</v>
      </c>
      <c r="CV8" s="11">
        <v>84000</v>
      </c>
      <c r="CW8" s="11"/>
      <c r="CX8" s="11">
        <f t="shared" si="33"/>
        <v>3736</v>
      </c>
      <c r="CY8" s="11">
        <v>3736</v>
      </c>
    </row>
    <row r="9" spans="1:103" x14ac:dyDescent="0.25">
      <c r="A9" s="11" t="s">
        <v>169</v>
      </c>
      <c r="B9" s="11">
        <v>1</v>
      </c>
      <c r="C9" s="11">
        <f t="shared" si="0"/>
        <v>12264</v>
      </c>
      <c r="D9" s="11">
        <v>12265</v>
      </c>
      <c r="E9" s="11"/>
      <c r="F9" s="11">
        <f t="shared" si="1"/>
        <v>0</v>
      </c>
      <c r="G9" s="11"/>
      <c r="H9" s="11"/>
      <c r="I9" s="11">
        <f t="shared" si="2"/>
        <v>121675</v>
      </c>
      <c r="J9" s="11">
        <v>121675</v>
      </c>
      <c r="K9" s="11"/>
      <c r="L9" s="11">
        <f t="shared" si="3"/>
        <v>0</v>
      </c>
      <c r="M9" s="11"/>
      <c r="N9" s="11"/>
      <c r="O9" s="11">
        <f t="shared" si="4"/>
        <v>117615</v>
      </c>
      <c r="P9" s="11">
        <v>117615</v>
      </c>
      <c r="Q9" s="11">
        <v>0</v>
      </c>
      <c r="R9" s="11">
        <f t="shared" si="5"/>
        <v>6556</v>
      </c>
      <c r="S9" s="11">
        <v>6556</v>
      </c>
      <c r="T9" s="11">
        <v>470</v>
      </c>
      <c r="U9" s="11">
        <f t="shared" si="6"/>
        <v>2524</v>
      </c>
      <c r="V9" s="11">
        <v>2994</v>
      </c>
      <c r="W9" s="11"/>
      <c r="X9" s="11">
        <f t="shared" si="7"/>
        <v>0</v>
      </c>
      <c r="Y9" s="11"/>
      <c r="Z9" s="11">
        <v>1</v>
      </c>
      <c r="AA9" s="11">
        <f t="shared" si="8"/>
        <v>434</v>
      </c>
      <c r="AB9" s="11">
        <v>435</v>
      </c>
      <c r="AC9" s="11"/>
      <c r="AD9" s="11">
        <f t="shared" si="9"/>
        <v>36</v>
      </c>
      <c r="AE9" s="11">
        <v>36</v>
      </c>
      <c r="AF9" s="11"/>
      <c r="AG9" s="11">
        <f t="shared" si="10"/>
        <v>0</v>
      </c>
      <c r="AH9" s="11">
        <v>0</v>
      </c>
      <c r="AI9" s="11">
        <v>11</v>
      </c>
      <c r="AJ9" s="11">
        <f t="shared" si="11"/>
        <v>3742</v>
      </c>
      <c r="AK9" s="11">
        <v>3753</v>
      </c>
      <c r="AL9" s="11">
        <v>22</v>
      </c>
      <c r="AM9" s="11">
        <f t="shared" si="12"/>
        <v>1730</v>
      </c>
      <c r="AN9" s="11">
        <v>1752</v>
      </c>
      <c r="AO9" s="11">
        <v>29</v>
      </c>
      <c r="AP9" s="11">
        <f t="shared" si="13"/>
        <v>10993</v>
      </c>
      <c r="AQ9" s="11">
        <v>11022</v>
      </c>
      <c r="AR9" s="11">
        <v>1723</v>
      </c>
      <c r="AS9" s="11">
        <f t="shared" si="14"/>
        <v>25193</v>
      </c>
      <c r="AT9" s="11">
        <v>26916</v>
      </c>
      <c r="AU9" s="11">
        <v>651</v>
      </c>
      <c r="AV9" s="11">
        <f t="shared" si="15"/>
        <v>20865</v>
      </c>
      <c r="AW9" s="11">
        <v>21516</v>
      </c>
      <c r="AX9" s="11"/>
      <c r="AY9" s="11">
        <f t="shared" si="16"/>
        <v>919</v>
      </c>
      <c r="AZ9" s="11">
        <v>919</v>
      </c>
      <c r="BA9" s="11">
        <v>22</v>
      </c>
      <c r="BB9" s="11">
        <f t="shared" si="17"/>
        <v>5253</v>
      </c>
      <c r="BC9" s="11">
        <v>5275</v>
      </c>
      <c r="BD9" s="11">
        <v>80</v>
      </c>
      <c r="BE9" s="11">
        <f t="shared" si="18"/>
        <v>2080</v>
      </c>
      <c r="BF9" s="11">
        <v>2160</v>
      </c>
      <c r="BG9" s="11"/>
      <c r="BH9" s="11">
        <f t="shared" si="19"/>
        <v>0</v>
      </c>
      <c r="BI9" s="11"/>
      <c r="BJ9" s="11"/>
      <c r="BK9" s="11">
        <f t="shared" si="20"/>
        <v>0</v>
      </c>
      <c r="BL9" s="11"/>
      <c r="BM9" s="11"/>
      <c r="BN9" s="11">
        <f t="shared" si="21"/>
        <v>0</v>
      </c>
      <c r="BO9" s="11"/>
      <c r="BP9" s="11"/>
      <c r="BQ9" s="11">
        <f t="shared" si="22"/>
        <v>0</v>
      </c>
      <c r="BR9" s="11"/>
      <c r="BS9" s="11"/>
      <c r="BT9" s="11">
        <f t="shared" si="23"/>
        <v>0</v>
      </c>
      <c r="BU9" s="11">
        <v>0</v>
      </c>
      <c r="BV9" s="11">
        <v>1364</v>
      </c>
      <c r="BW9" s="11">
        <f t="shared" si="24"/>
        <v>12903</v>
      </c>
      <c r="BX9" s="11">
        <v>14267</v>
      </c>
      <c r="BY9" s="11"/>
      <c r="BZ9" s="11">
        <f t="shared" si="25"/>
        <v>32</v>
      </c>
      <c r="CA9" s="11">
        <v>32</v>
      </c>
      <c r="CB9" s="11"/>
      <c r="CC9" s="11">
        <f t="shared" si="26"/>
        <v>0</v>
      </c>
      <c r="CD9" s="11"/>
      <c r="CE9" s="11">
        <v>122</v>
      </c>
      <c r="CF9" s="11">
        <f t="shared" si="27"/>
        <v>4268</v>
      </c>
      <c r="CG9" s="11">
        <v>4390</v>
      </c>
      <c r="CH9" s="11">
        <v>188</v>
      </c>
      <c r="CI9" s="11">
        <f t="shared" si="28"/>
        <v>10276</v>
      </c>
      <c r="CJ9" s="11">
        <v>10464</v>
      </c>
      <c r="CK9" s="11">
        <v>74</v>
      </c>
      <c r="CL9" s="11">
        <f t="shared" si="29"/>
        <v>19641</v>
      </c>
      <c r="CM9" s="11">
        <v>19715</v>
      </c>
      <c r="CN9" s="11"/>
      <c r="CO9" s="11">
        <f t="shared" si="30"/>
        <v>0</v>
      </c>
      <c r="CP9" s="11"/>
      <c r="CQ9" s="11">
        <v>393</v>
      </c>
      <c r="CR9" s="11">
        <f t="shared" si="31"/>
        <v>23902</v>
      </c>
      <c r="CS9" s="11">
        <v>24295</v>
      </c>
      <c r="CT9" s="11">
        <v>197</v>
      </c>
      <c r="CU9" s="11">
        <f t="shared" si="32"/>
        <v>735</v>
      </c>
      <c r="CV9" s="11">
        <v>932</v>
      </c>
      <c r="CW9" s="11">
        <v>280</v>
      </c>
      <c r="CX9" s="11">
        <f t="shared" si="33"/>
        <v>5363</v>
      </c>
      <c r="CY9" s="11">
        <v>5643</v>
      </c>
    </row>
    <row r="10" spans="1:103" x14ac:dyDescent="0.25">
      <c r="A10" s="11" t="s">
        <v>170</v>
      </c>
      <c r="B10" s="11">
        <v>55</v>
      </c>
      <c r="C10" s="11">
        <f t="shared" si="0"/>
        <v>18814</v>
      </c>
      <c r="D10" s="11">
        <v>18869</v>
      </c>
      <c r="E10" s="11"/>
      <c r="F10" s="11">
        <f t="shared" si="1"/>
        <v>8736</v>
      </c>
      <c r="G10" s="11">
        <v>8736</v>
      </c>
      <c r="H10" s="11"/>
      <c r="I10" s="11">
        <f t="shared" si="2"/>
        <v>3536781</v>
      </c>
      <c r="J10" s="11">
        <v>3536781</v>
      </c>
      <c r="K10" s="11"/>
      <c r="L10" s="11">
        <f t="shared" si="3"/>
        <v>36406</v>
      </c>
      <c r="M10" s="11">
        <v>36406</v>
      </c>
      <c r="N10" s="11"/>
      <c r="O10" s="11">
        <f t="shared" si="4"/>
        <v>226645</v>
      </c>
      <c r="P10" s="11">
        <v>226645</v>
      </c>
      <c r="Q10" s="11">
        <v>13600</v>
      </c>
      <c r="R10" s="11">
        <f t="shared" si="5"/>
        <v>19997</v>
      </c>
      <c r="S10" s="11">
        <v>33597</v>
      </c>
      <c r="T10" s="11">
        <v>28021</v>
      </c>
      <c r="U10" s="11">
        <f t="shared" si="6"/>
        <v>36183</v>
      </c>
      <c r="V10" s="11">
        <v>64204</v>
      </c>
      <c r="W10" s="11"/>
      <c r="X10" s="11">
        <f t="shared" si="7"/>
        <v>3906</v>
      </c>
      <c r="Y10" s="11">
        <v>3906</v>
      </c>
      <c r="Z10" s="11">
        <v>20</v>
      </c>
      <c r="AA10" s="11">
        <f t="shared" si="8"/>
        <v>722</v>
      </c>
      <c r="AB10" s="11">
        <v>742</v>
      </c>
      <c r="AC10" s="11">
        <v>54</v>
      </c>
      <c r="AD10" s="11">
        <f t="shared" si="9"/>
        <v>82</v>
      </c>
      <c r="AE10" s="11">
        <v>136</v>
      </c>
      <c r="AF10" s="11"/>
      <c r="AG10" s="11">
        <f t="shared" si="10"/>
        <v>924</v>
      </c>
      <c r="AH10" s="11">
        <v>924</v>
      </c>
      <c r="AI10" s="11">
        <v>8137</v>
      </c>
      <c r="AJ10" s="11">
        <f t="shared" si="11"/>
        <v>31648</v>
      </c>
      <c r="AK10" s="11">
        <v>39785</v>
      </c>
      <c r="AL10" s="11">
        <v>866</v>
      </c>
      <c r="AM10" s="11">
        <f t="shared" si="12"/>
        <v>6467</v>
      </c>
      <c r="AN10" s="11">
        <v>7333</v>
      </c>
      <c r="AO10" s="11">
        <v>29981</v>
      </c>
      <c r="AP10" s="11">
        <f t="shared" si="13"/>
        <v>42705</v>
      </c>
      <c r="AQ10" s="11">
        <v>72686</v>
      </c>
      <c r="AR10" s="11">
        <v>51505</v>
      </c>
      <c r="AS10" s="11">
        <f t="shared" si="14"/>
        <v>172834</v>
      </c>
      <c r="AT10" s="11">
        <v>224339</v>
      </c>
      <c r="AU10" s="11">
        <v>36139</v>
      </c>
      <c r="AV10" s="11">
        <f t="shared" si="15"/>
        <v>77166</v>
      </c>
      <c r="AW10" s="11">
        <v>113305</v>
      </c>
      <c r="AX10" s="11">
        <v>531</v>
      </c>
      <c r="AY10" s="11">
        <f t="shared" si="16"/>
        <v>2030</v>
      </c>
      <c r="AZ10" s="11">
        <v>2561</v>
      </c>
      <c r="BA10" s="11">
        <v>4061</v>
      </c>
      <c r="BB10" s="11">
        <f t="shared" si="17"/>
        <v>11277</v>
      </c>
      <c r="BC10" s="11">
        <v>15338</v>
      </c>
      <c r="BD10" s="11">
        <v>5945</v>
      </c>
      <c r="BE10" s="11">
        <f t="shared" si="18"/>
        <v>4885</v>
      </c>
      <c r="BF10" s="11">
        <v>10830</v>
      </c>
      <c r="BG10" s="11"/>
      <c r="BH10" s="11">
        <f t="shared" si="19"/>
        <v>4866</v>
      </c>
      <c r="BI10" s="11">
        <v>4866</v>
      </c>
      <c r="BJ10" s="11">
        <v>95222</v>
      </c>
      <c r="BK10" s="11">
        <f t="shared" si="20"/>
        <v>807278</v>
      </c>
      <c r="BL10" s="11">
        <v>902500</v>
      </c>
      <c r="BM10" s="11">
        <v>151656</v>
      </c>
      <c r="BN10" s="11">
        <f t="shared" si="21"/>
        <v>212145</v>
      </c>
      <c r="BO10" s="11">
        <v>363801</v>
      </c>
      <c r="BP10" s="11">
        <v>98832</v>
      </c>
      <c r="BQ10" s="11">
        <f t="shared" si="22"/>
        <v>247820</v>
      </c>
      <c r="BR10" s="11">
        <v>346652</v>
      </c>
      <c r="BS10" s="11">
        <v>391</v>
      </c>
      <c r="BT10" s="11">
        <f t="shared" si="23"/>
        <v>232</v>
      </c>
      <c r="BU10" s="11">
        <v>623</v>
      </c>
      <c r="BV10" s="11">
        <v>60737</v>
      </c>
      <c r="BW10" s="11">
        <f t="shared" si="24"/>
        <v>263138</v>
      </c>
      <c r="BX10" s="11">
        <v>323875</v>
      </c>
      <c r="BY10" s="11"/>
      <c r="BZ10" s="11">
        <f t="shared" si="25"/>
        <v>59</v>
      </c>
      <c r="CA10" s="11">
        <v>59</v>
      </c>
      <c r="CB10" s="11"/>
      <c r="CC10" s="11">
        <f t="shared" si="26"/>
        <v>9586</v>
      </c>
      <c r="CD10" s="11">
        <v>9586</v>
      </c>
      <c r="CE10" s="11">
        <v>20368</v>
      </c>
      <c r="CF10" s="11">
        <f t="shared" si="27"/>
        <v>25685</v>
      </c>
      <c r="CG10" s="11">
        <v>46053</v>
      </c>
      <c r="CH10" s="11">
        <v>6957</v>
      </c>
      <c r="CI10" s="11">
        <f t="shared" si="28"/>
        <v>34059</v>
      </c>
      <c r="CJ10" s="11">
        <v>41016</v>
      </c>
      <c r="CK10" s="11">
        <v>43967</v>
      </c>
      <c r="CL10" s="11">
        <f t="shared" si="29"/>
        <v>14890</v>
      </c>
      <c r="CM10" s="11">
        <v>58857</v>
      </c>
      <c r="CN10" s="11"/>
      <c r="CO10" s="11">
        <f t="shared" si="30"/>
        <v>89989</v>
      </c>
      <c r="CP10" s="11">
        <v>89989</v>
      </c>
      <c r="CQ10" s="11">
        <v>19019</v>
      </c>
      <c r="CR10" s="11">
        <f t="shared" si="31"/>
        <v>100776</v>
      </c>
      <c r="CS10" s="11">
        <v>119795</v>
      </c>
      <c r="CT10" s="11">
        <v>176525</v>
      </c>
      <c r="CU10" s="11">
        <f t="shared" si="32"/>
        <v>661546</v>
      </c>
      <c r="CV10" s="11">
        <v>838071</v>
      </c>
      <c r="CW10" s="11">
        <v>7187</v>
      </c>
      <c r="CX10" s="11">
        <f t="shared" si="33"/>
        <v>10093</v>
      </c>
      <c r="CY10" s="11">
        <v>17280</v>
      </c>
    </row>
    <row r="11" spans="1:103" x14ac:dyDescent="0.25">
      <c r="A11" s="11" t="s">
        <v>171</v>
      </c>
      <c r="B11" s="11">
        <v>34</v>
      </c>
      <c r="C11" s="11">
        <f t="shared" si="0"/>
        <v>15774</v>
      </c>
      <c r="D11" s="11">
        <v>15808</v>
      </c>
      <c r="E11" s="11"/>
      <c r="F11" s="11">
        <f t="shared" si="1"/>
        <v>8172</v>
      </c>
      <c r="G11" s="11">
        <v>8172</v>
      </c>
      <c r="H11" s="11"/>
      <c r="I11" s="11">
        <f t="shared" si="2"/>
        <v>812711</v>
      </c>
      <c r="J11" s="11">
        <v>812711</v>
      </c>
      <c r="K11" s="11"/>
      <c r="L11" s="11">
        <f t="shared" si="3"/>
        <v>34705</v>
      </c>
      <c r="M11" s="11">
        <v>34705</v>
      </c>
      <c r="N11" s="11"/>
      <c r="O11" s="11">
        <f t="shared" si="4"/>
        <v>202641</v>
      </c>
      <c r="P11" s="11">
        <v>202641</v>
      </c>
      <c r="Q11" s="11">
        <v>1056</v>
      </c>
      <c r="R11" s="11">
        <f t="shared" si="5"/>
        <v>15992</v>
      </c>
      <c r="S11" s="11">
        <v>17048</v>
      </c>
      <c r="T11" s="11">
        <v>3809</v>
      </c>
      <c r="U11" s="11">
        <f t="shared" si="6"/>
        <v>18049</v>
      </c>
      <c r="V11" s="11">
        <v>21858</v>
      </c>
      <c r="W11" s="11"/>
      <c r="X11" s="11">
        <f t="shared" si="7"/>
        <v>3880</v>
      </c>
      <c r="Y11" s="11">
        <v>3880</v>
      </c>
      <c r="Z11" s="11">
        <v>13</v>
      </c>
      <c r="AA11" s="11">
        <f t="shared" si="8"/>
        <v>702</v>
      </c>
      <c r="AB11" s="11">
        <v>715</v>
      </c>
      <c r="AC11" s="11">
        <v>39</v>
      </c>
      <c r="AD11" s="11">
        <f t="shared" si="9"/>
        <v>82</v>
      </c>
      <c r="AE11" s="11">
        <v>121</v>
      </c>
      <c r="AF11" s="11"/>
      <c r="AG11" s="11">
        <f t="shared" si="10"/>
        <v>381</v>
      </c>
      <c r="AH11" s="11">
        <v>381</v>
      </c>
      <c r="AI11" s="11">
        <v>799</v>
      </c>
      <c r="AJ11" s="11">
        <f t="shared" si="11"/>
        <v>11136</v>
      </c>
      <c r="AK11" s="11">
        <v>11935</v>
      </c>
      <c r="AL11" s="11">
        <v>378</v>
      </c>
      <c r="AM11" s="11">
        <f t="shared" si="12"/>
        <v>5984</v>
      </c>
      <c r="AN11" s="11">
        <v>6362</v>
      </c>
      <c r="AO11" s="11">
        <v>2989</v>
      </c>
      <c r="AP11" s="11">
        <f t="shared" si="13"/>
        <v>33656</v>
      </c>
      <c r="AQ11" s="11">
        <v>36645</v>
      </c>
      <c r="AR11" s="11">
        <v>1830</v>
      </c>
      <c r="AS11" s="11">
        <f t="shared" si="14"/>
        <v>139137</v>
      </c>
      <c r="AT11" s="11">
        <v>140967</v>
      </c>
      <c r="AU11" s="11">
        <v>3816</v>
      </c>
      <c r="AV11" s="11">
        <f t="shared" si="15"/>
        <v>57863</v>
      </c>
      <c r="AW11" s="11">
        <v>61679</v>
      </c>
      <c r="AX11" s="11">
        <v>93</v>
      </c>
      <c r="AY11" s="11">
        <f t="shared" si="16"/>
        <v>1699</v>
      </c>
      <c r="AZ11" s="11">
        <v>1792</v>
      </c>
      <c r="BA11" s="11">
        <v>608</v>
      </c>
      <c r="BB11" s="11">
        <f t="shared" si="17"/>
        <v>9420</v>
      </c>
      <c r="BC11" s="11">
        <v>10028</v>
      </c>
      <c r="BD11" s="11">
        <v>985</v>
      </c>
      <c r="BE11" s="11">
        <f t="shared" si="18"/>
        <v>3643</v>
      </c>
      <c r="BF11" s="11">
        <v>4628</v>
      </c>
      <c r="BG11" s="11"/>
      <c r="BH11" s="11">
        <f t="shared" si="19"/>
        <v>4790</v>
      </c>
      <c r="BI11" s="11">
        <v>4790</v>
      </c>
      <c r="BJ11" s="11">
        <v>5679</v>
      </c>
      <c r="BK11" s="11">
        <f t="shared" si="20"/>
        <v>496663</v>
      </c>
      <c r="BL11" s="11">
        <v>502342</v>
      </c>
      <c r="BM11" s="11">
        <f>1655+5427</f>
        <v>7082</v>
      </c>
      <c r="BN11" s="11">
        <f t="shared" si="21"/>
        <v>167533</v>
      </c>
      <c r="BO11" s="11">
        <f>119594+55021</f>
        <v>174615</v>
      </c>
      <c r="BP11" s="11">
        <v>14945</v>
      </c>
      <c r="BQ11" s="11">
        <f t="shared" si="22"/>
        <v>201300</v>
      </c>
      <c r="BR11" s="11">
        <v>216245</v>
      </c>
      <c r="BS11" s="11">
        <v>83</v>
      </c>
      <c r="BT11" s="11">
        <f t="shared" si="23"/>
        <v>47</v>
      </c>
      <c r="BU11" s="11">
        <v>130</v>
      </c>
      <c r="BV11" s="11">
        <v>3568</v>
      </c>
      <c r="BW11" s="11">
        <f t="shared" si="24"/>
        <v>240245</v>
      </c>
      <c r="BX11" s="11">
        <v>243813</v>
      </c>
      <c r="BY11" s="11"/>
      <c r="BZ11" s="11">
        <f t="shared" si="25"/>
        <v>58</v>
      </c>
      <c r="CA11" s="11">
        <v>58</v>
      </c>
      <c r="CB11" s="11"/>
      <c r="CC11" s="11">
        <f t="shared" si="26"/>
        <v>7959</v>
      </c>
      <c r="CD11" s="11">
        <v>7959</v>
      </c>
      <c r="CE11" s="11">
        <v>2070</v>
      </c>
      <c r="CF11" s="11">
        <f t="shared" si="27"/>
        <v>19010</v>
      </c>
      <c r="CG11" s="11">
        <v>21080</v>
      </c>
      <c r="CH11" s="11">
        <v>679</v>
      </c>
      <c r="CI11" s="11">
        <f t="shared" si="28"/>
        <v>22713</v>
      </c>
      <c r="CJ11" s="11">
        <v>23392</v>
      </c>
      <c r="CK11" s="11">
        <v>3586</v>
      </c>
      <c r="CL11" s="11">
        <f t="shared" si="29"/>
        <v>9705</v>
      </c>
      <c r="CM11" s="11">
        <v>13291</v>
      </c>
      <c r="CN11" s="11"/>
      <c r="CO11" s="11">
        <f t="shared" si="30"/>
        <v>81082</v>
      </c>
      <c r="CP11" s="11">
        <v>81082</v>
      </c>
      <c r="CQ11" s="11">
        <v>2646</v>
      </c>
      <c r="CR11" s="11">
        <f t="shared" si="31"/>
        <v>84467</v>
      </c>
      <c r="CS11" s="11">
        <v>87113</v>
      </c>
      <c r="CT11" s="11">
        <v>16177</v>
      </c>
      <c r="CU11" s="11">
        <f t="shared" si="32"/>
        <v>452995</v>
      </c>
      <c r="CV11" s="11">
        <v>469172</v>
      </c>
      <c r="CW11" s="11">
        <v>614</v>
      </c>
      <c r="CX11" s="11">
        <f t="shared" si="33"/>
        <v>8824</v>
      </c>
      <c r="CY11" s="11">
        <v>9438</v>
      </c>
    </row>
    <row r="12" spans="1:103" x14ac:dyDescent="0.25">
      <c r="A12" s="11" t="s">
        <v>172</v>
      </c>
      <c r="B12" s="11">
        <v>17</v>
      </c>
      <c r="C12" s="11">
        <f t="shared" si="0"/>
        <v>2855</v>
      </c>
      <c r="D12" s="11">
        <v>2872</v>
      </c>
      <c r="E12" s="11"/>
      <c r="F12" s="11">
        <f t="shared" si="1"/>
        <v>330</v>
      </c>
      <c r="G12" s="11">
        <v>330</v>
      </c>
      <c r="H12" s="11"/>
      <c r="I12" s="11">
        <f t="shared" si="2"/>
        <v>2439</v>
      </c>
      <c r="J12" s="11">
        <v>2439</v>
      </c>
      <c r="K12" s="11"/>
      <c r="L12" s="11">
        <f t="shared" si="3"/>
        <v>300</v>
      </c>
      <c r="M12" s="11">
        <v>300</v>
      </c>
      <c r="N12" s="11"/>
      <c r="O12" s="11">
        <f t="shared" si="4"/>
        <v>11622</v>
      </c>
      <c r="P12" s="11">
        <v>11622</v>
      </c>
      <c r="Q12" s="11">
        <v>771</v>
      </c>
      <c r="R12" s="11">
        <f t="shared" si="5"/>
        <v>1473</v>
      </c>
      <c r="S12" s="11">
        <v>2244</v>
      </c>
      <c r="T12" s="11">
        <v>2902</v>
      </c>
      <c r="U12" s="11">
        <f t="shared" si="6"/>
        <v>2103</v>
      </c>
      <c r="V12" s="11">
        <v>5005</v>
      </c>
      <c r="W12" s="11"/>
      <c r="X12" s="11">
        <f t="shared" si="7"/>
        <v>23</v>
      </c>
      <c r="Y12" s="11">
        <v>23</v>
      </c>
      <c r="Z12" s="11">
        <v>6</v>
      </c>
      <c r="AA12" s="11">
        <f t="shared" si="8"/>
        <v>17</v>
      </c>
      <c r="AB12" s="11">
        <v>23</v>
      </c>
      <c r="AC12" s="11">
        <v>12</v>
      </c>
      <c r="AD12" s="11">
        <f t="shared" si="9"/>
        <v>0</v>
      </c>
      <c r="AE12" s="11">
        <v>12</v>
      </c>
      <c r="AF12" s="11"/>
      <c r="AG12" s="11">
        <f t="shared" si="10"/>
        <v>263</v>
      </c>
      <c r="AH12" s="11">
        <v>263</v>
      </c>
      <c r="AI12" s="11">
        <v>665</v>
      </c>
      <c r="AJ12" s="11">
        <f t="shared" si="11"/>
        <v>8161</v>
      </c>
      <c r="AK12" s="11">
        <v>8826</v>
      </c>
      <c r="AL12" s="11">
        <v>235</v>
      </c>
      <c r="AM12" s="11">
        <f t="shared" si="12"/>
        <v>272</v>
      </c>
      <c r="AN12" s="11">
        <v>507</v>
      </c>
      <c r="AO12" s="11">
        <v>2070</v>
      </c>
      <c r="AP12" s="11">
        <f t="shared" si="13"/>
        <v>3662</v>
      </c>
      <c r="AQ12" s="11">
        <v>5732</v>
      </c>
      <c r="AR12" s="11">
        <v>1697</v>
      </c>
      <c r="AS12" s="11">
        <f t="shared" si="14"/>
        <v>9821</v>
      </c>
      <c r="AT12" s="11">
        <v>11518</v>
      </c>
      <c r="AU12" s="11">
        <v>3926</v>
      </c>
      <c r="AV12" s="11">
        <f t="shared" si="15"/>
        <v>11184</v>
      </c>
      <c r="AW12" s="11">
        <v>15110</v>
      </c>
      <c r="AX12" s="11">
        <v>120</v>
      </c>
      <c r="AY12" s="11">
        <f t="shared" si="16"/>
        <v>191</v>
      </c>
      <c r="AZ12" s="11">
        <v>311</v>
      </c>
      <c r="BA12" s="11">
        <v>438</v>
      </c>
      <c r="BB12" s="11">
        <f t="shared" si="17"/>
        <v>767</v>
      </c>
      <c r="BC12" s="11">
        <v>1205</v>
      </c>
      <c r="BD12" s="11">
        <v>693</v>
      </c>
      <c r="BE12" s="11">
        <f t="shared" si="18"/>
        <v>628</v>
      </c>
      <c r="BF12" s="11">
        <v>1321</v>
      </c>
      <c r="BG12" s="11"/>
      <c r="BH12" s="11">
        <f t="shared" si="19"/>
        <v>65</v>
      </c>
      <c r="BI12" s="11">
        <v>65</v>
      </c>
      <c r="BJ12" s="11">
        <v>4917</v>
      </c>
      <c r="BK12" s="11">
        <f t="shared" si="20"/>
        <v>184134</v>
      </c>
      <c r="BL12" s="11">
        <v>189051</v>
      </c>
      <c r="BM12" s="11">
        <v>9517</v>
      </c>
      <c r="BN12" s="11">
        <f t="shared" si="21"/>
        <v>19534</v>
      </c>
      <c r="BO12" s="11">
        <v>29051</v>
      </c>
      <c r="BP12" s="11">
        <v>18345</v>
      </c>
      <c r="BQ12" s="11">
        <f t="shared" si="22"/>
        <v>22583</v>
      </c>
      <c r="BR12" s="11">
        <v>40928</v>
      </c>
      <c r="BS12" s="11">
        <v>59</v>
      </c>
      <c r="BT12" s="11">
        <f t="shared" si="23"/>
        <v>61</v>
      </c>
      <c r="BU12" s="11">
        <v>120</v>
      </c>
      <c r="BV12" s="11">
        <v>2960</v>
      </c>
      <c r="BW12" s="11">
        <f t="shared" si="24"/>
        <v>5627</v>
      </c>
      <c r="BX12" s="11">
        <v>8587</v>
      </c>
      <c r="BY12" s="11"/>
      <c r="BZ12" s="11">
        <f t="shared" si="25"/>
        <v>1</v>
      </c>
      <c r="CA12" s="11">
        <v>1</v>
      </c>
      <c r="CB12" s="11"/>
      <c r="CC12" s="11">
        <f t="shared" si="26"/>
        <v>519</v>
      </c>
      <c r="CD12" s="11">
        <v>519</v>
      </c>
      <c r="CE12" s="11">
        <v>1764</v>
      </c>
      <c r="CF12" s="11">
        <f t="shared" si="27"/>
        <v>2946</v>
      </c>
      <c r="CG12" s="11">
        <v>4710</v>
      </c>
      <c r="CH12" s="11">
        <v>499</v>
      </c>
      <c r="CI12" s="11">
        <f t="shared" si="28"/>
        <v>3017</v>
      </c>
      <c r="CJ12" s="11">
        <v>3516</v>
      </c>
      <c r="CK12" s="11">
        <v>3240</v>
      </c>
      <c r="CL12" s="11">
        <f t="shared" si="29"/>
        <v>1814</v>
      </c>
      <c r="CM12" s="11">
        <v>5054</v>
      </c>
      <c r="CN12" s="11"/>
      <c r="CO12" s="11">
        <f t="shared" si="30"/>
        <v>5082</v>
      </c>
      <c r="CP12" s="11">
        <v>5082</v>
      </c>
      <c r="CQ12" s="11">
        <v>1932</v>
      </c>
      <c r="CR12" s="11">
        <f t="shared" si="31"/>
        <v>10109</v>
      </c>
      <c r="CS12" s="11">
        <v>12041</v>
      </c>
      <c r="CT12" s="11">
        <v>13984</v>
      </c>
      <c r="CU12" s="11">
        <f t="shared" si="32"/>
        <v>103006</v>
      </c>
      <c r="CV12" s="11">
        <v>116990</v>
      </c>
      <c r="CW12" s="11">
        <v>469</v>
      </c>
      <c r="CX12" s="11">
        <f t="shared" si="33"/>
        <v>830</v>
      </c>
      <c r="CY12" s="11">
        <v>1299</v>
      </c>
    </row>
    <row r="13" spans="1:103" x14ac:dyDescent="0.25">
      <c r="A13" s="11" t="s">
        <v>173</v>
      </c>
      <c r="B13" s="11">
        <v>4</v>
      </c>
      <c r="C13" s="11">
        <f t="shared" si="0"/>
        <v>185</v>
      </c>
      <c r="D13" s="11">
        <v>189</v>
      </c>
      <c r="E13" s="11"/>
      <c r="F13" s="11">
        <f t="shared" si="1"/>
        <v>234</v>
      </c>
      <c r="G13" s="11">
        <v>234</v>
      </c>
      <c r="H13" s="11"/>
      <c r="I13" s="11">
        <f t="shared" si="2"/>
        <v>338312</v>
      </c>
      <c r="J13" s="11">
        <v>338312</v>
      </c>
      <c r="K13" s="11"/>
      <c r="L13" s="11">
        <f t="shared" si="3"/>
        <v>306</v>
      </c>
      <c r="M13" s="11">
        <v>306</v>
      </c>
      <c r="N13" s="11"/>
      <c r="O13" s="11">
        <f t="shared" si="4"/>
        <v>5568</v>
      </c>
      <c r="P13" s="11">
        <v>5568</v>
      </c>
      <c r="Q13" s="11">
        <v>1481</v>
      </c>
      <c r="R13" s="11">
        <f t="shared" si="5"/>
        <v>714</v>
      </c>
      <c r="S13" s="11">
        <v>2195</v>
      </c>
      <c r="T13" s="11">
        <v>4759</v>
      </c>
      <c r="U13" s="11">
        <f t="shared" si="6"/>
        <v>749</v>
      </c>
      <c r="V13" s="11">
        <v>5508</v>
      </c>
      <c r="W13" s="11"/>
      <c r="X13" s="11">
        <f t="shared" si="7"/>
        <v>3</v>
      </c>
      <c r="Y13" s="11">
        <v>3</v>
      </c>
      <c r="Z13" s="11">
        <v>1</v>
      </c>
      <c r="AA13" s="11">
        <f t="shared" si="8"/>
        <v>3</v>
      </c>
      <c r="AB13" s="11">
        <v>4</v>
      </c>
      <c r="AC13" s="11">
        <v>3</v>
      </c>
      <c r="AD13" s="11">
        <f t="shared" si="9"/>
        <v>0</v>
      </c>
      <c r="AE13" s="11">
        <v>3</v>
      </c>
      <c r="AF13" s="11"/>
      <c r="AG13" s="11">
        <f t="shared" si="10"/>
        <v>194</v>
      </c>
      <c r="AH13" s="11">
        <v>194</v>
      </c>
      <c r="AI13" s="11">
        <v>964</v>
      </c>
      <c r="AJ13" s="11">
        <f t="shared" si="11"/>
        <v>1695</v>
      </c>
      <c r="AK13" s="11">
        <v>2659</v>
      </c>
      <c r="AL13" s="11">
        <v>229</v>
      </c>
      <c r="AM13" s="11">
        <f t="shared" si="12"/>
        <v>154</v>
      </c>
      <c r="AN13" s="11">
        <v>383</v>
      </c>
      <c r="AO13" s="11">
        <v>4147</v>
      </c>
      <c r="AP13" s="11">
        <f t="shared" si="13"/>
        <v>4573</v>
      </c>
      <c r="AQ13" s="11">
        <v>8720</v>
      </c>
      <c r="AR13" s="11">
        <v>10223</v>
      </c>
      <c r="AS13" s="11">
        <f t="shared" si="14"/>
        <v>12929</v>
      </c>
      <c r="AT13" s="11">
        <v>23152</v>
      </c>
      <c r="AU13" s="11">
        <v>4945</v>
      </c>
      <c r="AV13" s="11">
        <f t="shared" si="15"/>
        <v>4116</v>
      </c>
      <c r="AW13" s="11">
        <v>9061</v>
      </c>
      <c r="AX13" s="11">
        <v>159</v>
      </c>
      <c r="AY13" s="11">
        <f t="shared" si="16"/>
        <v>91</v>
      </c>
      <c r="AZ13" s="11">
        <v>250</v>
      </c>
      <c r="BA13" s="11">
        <v>795</v>
      </c>
      <c r="BB13" s="11">
        <f t="shared" si="17"/>
        <v>551</v>
      </c>
      <c r="BC13" s="11">
        <v>1346</v>
      </c>
      <c r="BD13" s="11">
        <v>884</v>
      </c>
      <c r="BE13" s="11">
        <f t="shared" si="18"/>
        <v>198</v>
      </c>
      <c r="BF13" s="11">
        <v>1082</v>
      </c>
      <c r="BG13" s="11"/>
      <c r="BH13" s="11">
        <f t="shared" si="19"/>
        <v>9</v>
      </c>
      <c r="BI13" s="11">
        <v>9</v>
      </c>
      <c r="BJ13" s="11">
        <v>8914</v>
      </c>
      <c r="BK13" s="11">
        <f t="shared" si="20"/>
        <v>114483</v>
      </c>
      <c r="BL13" s="11">
        <v>123397</v>
      </c>
      <c r="BM13" s="11">
        <v>18977</v>
      </c>
      <c r="BN13" s="11">
        <f t="shared" si="21"/>
        <v>10026</v>
      </c>
      <c r="BO13" s="11">
        <v>29003</v>
      </c>
      <c r="BP13" s="11">
        <v>21031</v>
      </c>
      <c r="BQ13" s="11">
        <f t="shared" si="22"/>
        <v>11959</v>
      </c>
      <c r="BR13" s="11">
        <v>32990</v>
      </c>
      <c r="BS13" s="11">
        <v>109</v>
      </c>
      <c r="BT13" s="11">
        <f t="shared" si="23"/>
        <v>53</v>
      </c>
      <c r="BU13" s="11">
        <v>162</v>
      </c>
      <c r="BV13" s="11">
        <v>5999</v>
      </c>
      <c r="BW13" s="11">
        <f t="shared" si="24"/>
        <v>6346</v>
      </c>
      <c r="BX13" s="11">
        <v>12345</v>
      </c>
      <c r="BY13" s="11"/>
      <c r="BZ13" s="11"/>
      <c r="CA13" s="11"/>
      <c r="CB13" s="11"/>
      <c r="CC13" s="11">
        <f t="shared" si="26"/>
        <v>1108</v>
      </c>
      <c r="CD13" s="11">
        <v>1108</v>
      </c>
      <c r="CE13" s="11">
        <v>2741</v>
      </c>
      <c r="CF13" s="11">
        <f t="shared" si="27"/>
        <v>1913</v>
      </c>
      <c r="CG13" s="11">
        <v>4654</v>
      </c>
      <c r="CH13" s="11">
        <v>1062</v>
      </c>
      <c r="CI13" s="11">
        <f t="shared" si="28"/>
        <v>6280</v>
      </c>
      <c r="CJ13" s="11">
        <v>7342</v>
      </c>
      <c r="CK13" s="11">
        <v>5293</v>
      </c>
      <c r="CL13" s="11">
        <f t="shared" si="29"/>
        <v>899</v>
      </c>
      <c r="CM13" s="11">
        <v>6192</v>
      </c>
      <c r="CN13" s="11"/>
      <c r="CO13" s="11">
        <f t="shared" si="30"/>
        <v>2857</v>
      </c>
      <c r="CP13" s="11">
        <v>2857</v>
      </c>
      <c r="CQ13" s="11">
        <v>3365</v>
      </c>
      <c r="CR13" s="11">
        <f t="shared" si="31"/>
        <v>3106</v>
      </c>
      <c r="CS13" s="11">
        <v>6471</v>
      </c>
      <c r="CT13" s="11">
        <v>22286</v>
      </c>
      <c r="CU13" s="11">
        <f t="shared" si="32"/>
        <v>51293</v>
      </c>
      <c r="CV13" s="11">
        <v>73579</v>
      </c>
      <c r="CW13" s="11">
        <v>1148</v>
      </c>
      <c r="CX13" s="11">
        <f t="shared" si="33"/>
        <v>186</v>
      </c>
      <c r="CY13" s="11">
        <v>1334</v>
      </c>
    </row>
    <row r="14" spans="1:103" x14ac:dyDescent="0.25">
      <c r="A14" s="11" t="s">
        <v>174</v>
      </c>
      <c r="B14" s="11"/>
      <c r="C14" s="11">
        <f t="shared" si="0"/>
        <v>0</v>
      </c>
      <c r="D14" s="11"/>
      <c r="E14" s="11"/>
      <c r="F14" s="11">
        <f t="shared" si="1"/>
        <v>0</v>
      </c>
      <c r="G14" s="11"/>
      <c r="H14" s="11"/>
      <c r="I14" s="11">
        <f t="shared" si="2"/>
        <v>226829</v>
      </c>
      <c r="J14" s="11">
        <v>226829</v>
      </c>
      <c r="K14" s="11"/>
      <c r="L14" s="11">
        <f t="shared" si="3"/>
        <v>1095</v>
      </c>
      <c r="M14" s="11">
        <v>1095</v>
      </c>
      <c r="N14" s="11"/>
      <c r="O14" s="11">
        <f t="shared" si="4"/>
        <v>6814</v>
      </c>
      <c r="P14" s="11">
        <v>6814</v>
      </c>
      <c r="Q14" s="11">
        <v>10292</v>
      </c>
      <c r="R14" s="11">
        <f t="shared" si="5"/>
        <v>1818</v>
      </c>
      <c r="S14" s="11">
        <v>12110</v>
      </c>
      <c r="T14" s="11">
        <v>16551</v>
      </c>
      <c r="U14" s="11">
        <f t="shared" si="6"/>
        <v>15282</v>
      </c>
      <c r="V14" s="11">
        <v>31833</v>
      </c>
      <c r="W14" s="11"/>
      <c r="X14" s="11">
        <f t="shared" si="7"/>
        <v>0</v>
      </c>
      <c r="Y14" s="11"/>
      <c r="Z14" s="11"/>
      <c r="AA14" s="11">
        <f t="shared" si="8"/>
        <v>0</v>
      </c>
      <c r="AB14" s="11"/>
      <c r="AC14" s="11"/>
      <c r="AD14" s="11">
        <f t="shared" si="9"/>
        <v>0</v>
      </c>
      <c r="AE14" s="11"/>
      <c r="AF14" s="11"/>
      <c r="AG14" s="11">
        <f t="shared" si="10"/>
        <v>86</v>
      </c>
      <c r="AH14" s="11">
        <v>86</v>
      </c>
      <c r="AI14" s="11">
        <v>5709</v>
      </c>
      <c r="AJ14" s="11">
        <f t="shared" si="11"/>
        <v>10656</v>
      </c>
      <c r="AK14" s="11">
        <v>16365</v>
      </c>
      <c r="AL14" s="11">
        <v>24</v>
      </c>
      <c r="AM14" s="11">
        <f t="shared" si="12"/>
        <v>57</v>
      </c>
      <c r="AN14" s="11">
        <v>81</v>
      </c>
      <c r="AO14" s="11">
        <v>20775</v>
      </c>
      <c r="AP14" s="11">
        <f t="shared" si="13"/>
        <v>814</v>
      </c>
      <c r="AQ14" s="11">
        <v>21589</v>
      </c>
      <c r="AR14" s="11">
        <v>37755</v>
      </c>
      <c r="AS14" s="11">
        <f t="shared" si="14"/>
        <v>10947</v>
      </c>
      <c r="AT14" s="11">
        <v>48702</v>
      </c>
      <c r="AU14" s="11">
        <v>23452</v>
      </c>
      <c r="AV14" s="11">
        <f t="shared" si="15"/>
        <v>4003</v>
      </c>
      <c r="AW14" s="11">
        <v>27455</v>
      </c>
      <c r="AX14" s="11">
        <v>159</v>
      </c>
      <c r="AY14" s="11">
        <f t="shared" si="16"/>
        <v>49</v>
      </c>
      <c r="AZ14" s="11">
        <v>208</v>
      </c>
      <c r="BA14" s="11">
        <v>2220</v>
      </c>
      <c r="BB14" s="11">
        <f t="shared" si="17"/>
        <v>539</v>
      </c>
      <c r="BC14" s="11">
        <v>2759</v>
      </c>
      <c r="BD14" s="11">
        <v>3383</v>
      </c>
      <c r="BE14" s="11">
        <f t="shared" si="18"/>
        <v>416</v>
      </c>
      <c r="BF14" s="11">
        <v>3799</v>
      </c>
      <c r="BG14" s="11"/>
      <c r="BH14" s="11">
        <f t="shared" si="19"/>
        <v>2</v>
      </c>
      <c r="BI14" s="11">
        <v>2</v>
      </c>
      <c r="BJ14" s="11">
        <v>75712</v>
      </c>
      <c r="BK14" s="11">
        <f t="shared" si="20"/>
        <v>11998</v>
      </c>
      <c r="BL14" s="11">
        <v>87710</v>
      </c>
      <c r="BM14" s="11">
        <v>116080</v>
      </c>
      <c r="BN14" s="11">
        <f t="shared" si="21"/>
        <v>15052</v>
      </c>
      <c r="BO14" s="11">
        <v>131132</v>
      </c>
      <c r="BP14" s="11">
        <v>44511</v>
      </c>
      <c r="BQ14" s="11">
        <f t="shared" si="22"/>
        <v>11978</v>
      </c>
      <c r="BR14" s="11">
        <v>56489</v>
      </c>
      <c r="BS14" s="11">
        <v>140</v>
      </c>
      <c r="BT14" s="11">
        <f t="shared" si="23"/>
        <v>71</v>
      </c>
      <c r="BU14" s="11">
        <v>211</v>
      </c>
      <c r="BV14" s="11">
        <v>48210</v>
      </c>
      <c r="BW14" s="11">
        <f t="shared" si="24"/>
        <v>10920</v>
      </c>
      <c r="BX14" s="11">
        <v>59130</v>
      </c>
      <c r="BY14" s="11"/>
      <c r="BZ14" s="11"/>
      <c r="CA14" s="11"/>
      <c r="CB14" s="11"/>
      <c r="CC14" s="11">
        <f t="shared" si="26"/>
        <v>0</v>
      </c>
      <c r="CD14" s="11"/>
      <c r="CE14" s="11">
        <v>13793</v>
      </c>
      <c r="CF14" s="11">
        <f t="shared" si="27"/>
        <v>1816</v>
      </c>
      <c r="CG14" s="11">
        <v>15609</v>
      </c>
      <c r="CH14" s="11">
        <v>4717</v>
      </c>
      <c r="CI14" s="11">
        <f t="shared" si="28"/>
        <v>2049</v>
      </c>
      <c r="CJ14" s="11">
        <v>6766</v>
      </c>
      <c r="CK14" s="11">
        <v>31848</v>
      </c>
      <c r="CL14" s="11">
        <f t="shared" si="29"/>
        <v>2472</v>
      </c>
      <c r="CM14" s="11">
        <v>34320</v>
      </c>
      <c r="CN14" s="11"/>
      <c r="CO14" s="11">
        <f t="shared" si="30"/>
        <v>968</v>
      </c>
      <c r="CP14" s="11">
        <v>968</v>
      </c>
      <c r="CQ14" s="11">
        <v>11076</v>
      </c>
      <c r="CR14" s="11">
        <f t="shared" si="31"/>
        <v>3094</v>
      </c>
      <c r="CS14" s="11">
        <v>14170</v>
      </c>
      <c r="CT14" s="11">
        <v>124078</v>
      </c>
      <c r="CU14" s="11">
        <f t="shared" si="32"/>
        <v>54252</v>
      </c>
      <c r="CV14" s="11">
        <v>178330</v>
      </c>
      <c r="CW14" s="11">
        <v>4956</v>
      </c>
      <c r="CX14" s="11">
        <f t="shared" si="33"/>
        <v>253</v>
      </c>
      <c r="CY14" s="11">
        <v>5209</v>
      </c>
    </row>
  </sheetData>
  <mergeCells count="34"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CQ3:CS3"/>
    <mergeCell ref="CT3:CV3"/>
    <mergeCell ref="CW3:CY3"/>
    <mergeCell ref="BV3:BX3"/>
    <mergeCell ref="CB3:CD3"/>
    <mergeCell ref="CE3:CG3"/>
    <mergeCell ref="CH3:CJ3"/>
    <mergeCell ref="CK3:CM3"/>
    <mergeCell ref="CN3:CP3"/>
    <mergeCell ref="BY3:CA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9" width="16" customWidth="1"/>
  </cols>
  <sheetData>
    <row r="1" spans="1:69" ht="18.75" x14ac:dyDescent="0.3">
      <c r="A1" s="23" t="s">
        <v>140</v>
      </c>
    </row>
    <row r="2" spans="1:69" x14ac:dyDescent="0.25">
      <c r="A2" s="1" t="s">
        <v>0</v>
      </c>
      <c r="B2" s="105" t="s">
        <v>1</v>
      </c>
      <c r="C2" s="106"/>
      <c r="D2" s="105" t="s">
        <v>2</v>
      </c>
      <c r="E2" s="106"/>
      <c r="F2" s="105" t="s">
        <v>3</v>
      </c>
      <c r="G2" s="106"/>
      <c r="H2" s="105" t="s">
        <v>4</v>
      </c>
      <c r="I2" s="106"/>
      <c r="J2" s="105" t="s">
        <v>5</v>
      </c>
      <c r="K2" s="106"/>
      <c r="L2" s="105" t="s">
        <v>6</v>
      </c>
      <c r="M2" s="106"/>
      <c r="N2" s="105" t="s">
        <v>7</v>
      </c>
      <c r="O2" s="106"/>
      <c r="P2" s="105" t="s">
        <v>8</v>
      </c>
      <c r="Q2" s="106"/>
      <c r="R2" s="105" t="s">
        <v>9</v>
      </c>
      <c r="S2" s="106"/>
      <c r="T2" s="105" t="s">
        <v>10</v>
      </c>
      <c r="U2" s="106"/>
      <c r="V2" s="105" t="s">
        <v>11</v>
      </c>
      <c r="W2" s="106"/>
      <c r="X2" s="105" t="s">
        <v>12</v>
      </c>
      <c r="Y2" s="106"/>
      <c r="Z2" s="105" t="s">
        <v>13</v>
      </c>
      <c r="AA2" s="106"/>
      <c r="AB2" s="105" t="s">
        <v>14</v>
      </c>
      <c r="AC2" s="106"/>
      <c r="AD2" s="105" t="s">
        <v>15</v>
      </c>
      <c r="AE2" s="106"/>
      <c r="AF2" s="105" t="s">
        <v>16</v>
      </c>
      <c r="AG2" s="106"/>
      <c r="AH2" s="105" t="s">
        <v>17</v>
      </c>
      <c r="AI2" s="106"/>
      <c r="AJ2" s="105" t="s">
        <v>18</v>
      </c>
      <c r="AK2" s="106"/>
      <c r="AL2" s="105" t="s">
        <v>19</v>
      </c>
      <c r="AM2" s="106"/>
      <c r="AN2" s="105" t="s">
        <v>20</v>
      </c>
      <c r="AO2" s="106"/>
      <c r="AP2" s="105" t="s">
        <v>21</v>
      </c>
      <c r="AQ2" s="106"/>
      <c r="AR2" s="105" t="s">
        <v>22</v>
      </c>
      <c r="AS2" s="106"/>
      <c r="AT2" s="105" t="s">
        <v>23</v>
      </c>
      <c r="AU2" s="106"/>
      <c r="AV2" s="105" t="s">
        <v>24</v>
      </c>
      <c r="AW2" s="106"/>
      <c r="AX2" s="105" t="s">
        <v>25</v>
      </c>
      <c r="AY2" s="106"/>
      <c r="AZ2" s="105" t="s">
        <v>26</v>
      </c>
      <c r="BA2" s="106"/>
      <c r="BB2" s="105" t="s">
        <v>27</v>
      </c>
      <c r="BC2" s="106"/>
      <c r="BD2" s="105" t="s">
        <v>28</v>
      </c>
      <c r="BE2" s="106"/>
      <c r="BF2" s="105" t="s">
        <v>29</v>
      </c>
      <c r="BG2" s="106"/>
      <c r="BH2" s="105" t="s">
        <v>30</v>
      </c>
      <c r="BI2" s="106"/>
      <c r="BJ2" s="105" t="s">
        <v>31</v>
      </c>
      <c r="BK2" s="106"/>
      <c r="BL2" s="105" t="s">
        <v>32</v>
      </c>
      <c r="BM2" s="106"/>
      <c r="BN2" s="109" t="s">
        <v>33</v>
      </c>
      <c r="BO2" s="110"/>
      <c r="BP2" s="105" t="s">
        <v>34</v>
      </c>
      <c r="BQ2" s="106"/>
    </row>
    <row r="3" spans="1:69" ht="30" x14ac:dyDescent="0.25">
      <c r="A3" s="1"/>
      <c r="B3" s="76" t="s">
        <v>295</v>
      </c>
      <c r="C3" s="77" t="s">
        <v>296</v>
      </c>
      <c r="D3" s="76" t="s">
        <v>295</v>
      </c>
      <c r="E3" s="77" t="s">
        <v>296</v>
      </c>
      <c r="F3" s="76" t="s">
        <v>295</v>
      </c>
      <c r="G3" s="77" t="s">
        <v>296</v>
      </c>
      <c r="H3" s="76" t="s">
        <v>295</v>
      </c>
      <c r="I3" s="77" t="s">
        <v>296</v>
      </c>
      <c r="J3" s="76" t="s">
        <v>295</v>
      </c>
      <c r="K3" s="77" t="s">
        <v>296</v>
      </c>
      <c r="L3" s="76" t="s">
        <v>295</v>
      </c>
      <c r="M3" s="77" t="s">
        <v>296</v>
      </c>
      <c r="N3" s="76" t="s">
        <v>295</v>
      </c>
      <c r="O3" s="77" t="s">
        <v>296</v>
      </c>
      <c r="P3" s="76" t="s">
        <v>295</v>
      </c>
      <c r="Q3" s="77" t="s">
        <v>296</v>
      </c>
      <c r="R3" s="76" t="s">
        <v>295</v>
      </c>
      <c r="S3" s="77" t="s">
        <v>296</v>
      </c>
      <c r="T3" s="76" t="s">
        <v>295</v>
      </c>
      <c r="U3" s="77" t="s">
        <v>296</v>
      </c>
      <c r="V3" s="76" t="s">
        <v>295</v>
      </c>
      <c r="W3" s="77" t="s">
        <v>296</v>
      </c>
      <c r="X3" s="76" t="s">
        <v>295</v>
      </c>
      <c r="Y3" s="77" t="s">
        <v>296</v>
      </c>
      <c r="Z3" s="76" t="s">
        <v>295</v>
      </c>
      <c r="AA3" s="77" t="s">
        <v>296</v>
      </c>
      <c r="AB3" s="76" t="s">
        <v>295</v>
      </c>
      <c r="AC3" s="77" t="s">
        <v>296</v>
      </c>
      <c r="AD3" s="76" t="s">
        <v>295</v>
      </c>
      <c r="AE3" s="77" t="s">
        <v>296</v>
      </c>
      <c r="AF3" s="76" t="s">
        <v>295</v>
      </c>
      <c r="AG3" s="77" t="s">
        <v>296</v>
      </c>
      <c r="AH3" s="76" t="s">
        <v>295</v>
      </c>
      <c r="AI3" s="77" t="s">
        <v>296</v>
      </c>
      <c r="AJ3" s="76" t="s">
        <v>295</v>
      </c>
      <c r="AK3" s="77" t="s">
        <v>296</v>
      </c>
      <c r="AL3" s="76" t="s">
        <v>295</v>
      </c>
      <c r="AM3" s="77" t="s">
        <v>296</v>
      </c>
      <c r="AN3" s="76" t="s">
        <v>295</v>
      </c>
      <c r="AO3" s="77" t="s">
        <v>296</v>
      </c>
      <c r="AP3" s="76" t="s">
        <v>295</v>
      </c>
      <c r="AQ3" s="77" t="s">
        <v>296</v>
      </c>
      <c r="AR3" s="76" t="s">
        <v>295</v>
      </c>
      <c r="AS3" s="77" t="s">
        <v>296</v>
      </c>
      <c r="AT3" s="76" t="s">
        <v>295</v>
      </c>
      <c r="AU3" s="77" t="s">
        <v>296</v>
      </c>
      <c r="AV3" s="76" t="s">
        <v>295</v>
      </c>
      <c r="AW3" s="77" t="s">
        <v>296</v>
      </c>
      <c r="AX3" s="76" t="s">
        <v>295</v>
      </c>
      <c r="AY3" s="77" t="s">
        <v>296</v>
      </c>
      <c r="AZ3" s="76" t="s">
        <v>295</v>
      </c>
      <c r="BA3" s="77" t="s">
        <v>296</v>
      </c>
      <c r="BB3" s="76" t="s">
        <v>295</v>
      </c>
      <c r="BC3" s="77" t="s">
        <v>296</v>
      </c>
      <c r="BD3" s="76" t="s">
        <v>295</v>
      </c>
      <c r="BE3" s="77" t="s">
        <v>296</v>
      </c>
      <c r="BF3" s="76" t="s">
        <v>295</v>
      </c>
      <c r="BG3" s="77" t="s">
        <v>296</v>
      </c>
      <c r="BH3" s="76" t="s">
        <v>295</v>
      </c>
      <c r="BI3" s="77" t="s">
        <v>296</v>
      </c>
      <c r="BJ3" s="76" t="s">
        <v>295</v>
      </c>
      <c r="BK3" s="77" t="s">
        <v>296</v>
      </c>
      <c r="BL3" s="76" t="s">
        <v>295</v>
      </c>
      <c r="BM3" s="77" t="s">
        <v>296</v>
      </c>
      <c r="BN3" s="76" t="s">
        <v>295</v>
      </c>
      <c r="BO3" s="77" t="s">
        <v>296</v>
      </c>
      <c r="BP3" s="76" t="s">
        <v>295</v>
      </c>
      <c r="BQ3" s="77" t="s">
        <v>296</v>
      </c>
    </row>
    <row r="4" spans="1:69" x14ac:dyDescent="0.25">
      <c r="A4" s="16" t="s">
        <v>141</v>
      </c>
      <c r="B4" s="49">
        <v>5.25</v>
      </c>
      <c r="C4" s="49">
        <v>6.22</v>
      </c>
      <c r="D4" s="87">
        <v>0.7</v>
      </c>
      <c r="E4" s="87">
        <v>0.78</v>
      </c>
      <c r="F4" s="50">
        <v>0.1799</v>
      </c>
      <c r="G4" s="50">
        <v>7.4300000000000005E-2</v>
      </c>
      <c r="H4" s="49">
        <v>0.28999999999999998</v>
      </c>
      <c r="I4" s="87">
        <v>0.34</v>
      </c>
      <c r="J4" s="49">
        <v>0.56999999999999995</v>
      </c>
      <c r="K4" s="49">
        <v>-0.05</v>
      </c>
      <c r="L4" s="49">
        <v>0.45</v>
      </c>
      <c r="M4" s="49">
        <v>0.47</v>
      </c>
      <c r="N4" s="50">
        <v>-0.01</v>
      </c>
      <c r="O4" s="50">
        <v>6.7699999999999996E-2</v>
      </c>
      <c r="P4" s="49">
        <v>0.06</v>
      </c>
      <c r="Q4" s="49">
        <v>0.03</v>
      </c>
      <c r="R4" s="49">
        <v>-0.37</v>
      </c>
      <c r="S4" s="49">
        <v>-0.47</v>
      </c>
      <c r="T4" s="49">
        <v>0.46</v>
      </c>
      <c r="U4" s="49">
        <v>0.7</v>
      </c>
      <c r="V4" s="50">
        <v>-9.8699999999999996E-2</v>
      </c>
      <c r="W4" s="50">
        <v>-6.5000000000000002E-2</v>
      </c>
      <c r="X4" s="87">
        <v>0.31</v>
      </c>
      <c r="Y4" s="87">
        <v>0.23</v>
      </c>
      <c r="Z4" s="25">
        <v>1.98</v>
      </c>
      <c r="AA4" s="38">
        <v>2.2200000000000002</v>
      </c>
      <c r="AB4" s="50">
        <v>0.30330000000000001</v>
      </c>
      <c r="AC4" s="50">
        <v>0.2014</v>
      </c>
      <c r="AD4" s="49">
        <v>-0.16</v>
      </c>
      <c r="AE4" s="49">
        <v>-0.12</v>
      </c>
      <c r="AF4" s="50">
        <v>0.2364</v>
      </c>
      <c r="AG4" s="50">
        <v>0.2019</v>
      </c>
      <c r="AH4" s="38">
        <v>0.38</v>
      </c>
      <c r="AI4" s="25">
        <v>0.49</v>
      </c>
      <c r="AJ4" s="49">
        <v>0.3</v>
      </c>
      <c r="AK4" s="49">
        <v>0.36</v>
      </c>
      <c r="AL4" s="50">
        <v>0.45200000000000001</v>
      </c>
      <c r="AM4" s="50">
        <v>0.496</v>
      </c>
      <c r="AN4" s="49">
        <v>0.28999999999999998</v>
      </c>
      <c r="AO4" s="87">
        <v>0.32</v>
      </c>
      <c r="AP4" s="50">
        <v>0.22470000000000001</v>
      </c>
      <c r="AQ4" s="50">
        <v>5.9700000000000003E-2</v>
      </c>
      <c r="AR4" s="38">
        <v>28.57</v>
      </c>
      <c r="AS4" s="38">
        <v>20.149999999999999</v>
      </c>
      <c r="AT4" s="38">
        <v>6.9</v>
      </c>
      <c r="AU4" s="38">
        <v>6.18</v>
      </c>
      <c r="AV4" s="50">
        <v>0.34100000000000003</v>
      </c>
      <c r="AW4" s="50">
        <v>0.2059</v>
      </c>
      <c r="AX4" s="87">
        <v>0.23</v>
      </c>
      <c r="AY4" s="87">
        <v>0.25</v>
      </c>
      <c r="AZ4" s="38"/>
      <c r="BA4" s="38"/>
      <c r="BB4" s="38">
        <v>0.28999999999999998</v>
      </c>
      <c r="BC4" s="38">
        <v>0.48</v>
      </c>
      <c r="BD4" s="50">
        <v>9.4E-2</v>
      </c>
      <c r="BE4" s="50">
        <v>3.5000000000000003E-2</v>
      </c>
      <c r="BF4" s="50">
        <v>0.74080000000000001</v>
      </c>
      <c r="BG4" s="50">
        <v>0.50849999999999995</v>
      </c>
      <c r="BH4" s="50">
        <v>0.1077</v>
      </c>
      <c r="BI4" s="50">
        <v>8.2600000000000007E-2</v>
      </c>
      <c r="BJ4" s="49">
        <v>0.37</v>
      </c>
      <c r="BK4" s="49">
        <v>0.35</v>
      </c>
      <c r="BL4" s="49">
        <v>7.0000000000000007E-2</v>
      </c>
      <c r="BM4" s="49">
        <v>0.21</v>
      </c>
      <c r="BN4" s="50">
        <v>0.18229999999999999</v>
      </c>
      <c r="BO4" s="50">
        <v>0.10349999999999999</v>
      </c>
      <c r="BP4" s="50">
        <v>0.71199999999999997</v>
      </c>
      <c r="BQ4" s="50">
        <v>0.47570000000000001</v>
      </c>
    </row>
    <row r="5" spans="1:69" ht="15" customHeight="1" x14ac:dyDescent="0.25">
      <c r="A5" s="16" t="s">
        <v>142</v>
      </c>
      <c r="B5" s="38"/>
      <c r="C5" s="49"/>
      <c r="D5" s="87">
        <v>0.66</v>
      </c>
      <c r="E5" s="87">
        <v>1.2</v>
      </c>
      <c r="F5" s="50"/>
      <c r="G5" s="50"/>
      <c r="H5" s="38"/>
      <c r="I5" s="38"/>
      <c r="J5" s="49">
        <v>0.77</v>
      </c>
      <c r="K5" s="49">
        <v>0.56000000000000005</v>
      </c>
      <c r="L5" s="38">
        <v>1.87</v>
      </c>
      <c r="M5" s="38">
        <v>2.96</v>
      </c>
      <c r="N5" s="38">
        <v>0.74</v>
      </c>
      <c r="O5" s="38">
        <v>1.47</v>
      </c>
      <c r="P5" s="38"/>
      <c r="Q5" s="38"/>
      <c r="R5" s="38"/>
      <c r="S5" s="38"/>
      <c r="T5" s="38">
        <v>0.3</v>
      </c>
      <c r="U5" s="38">
        <v>0.47</v>
      </c>
      <c r="V5" s="38"/>
      <c r="W5" s="38"/>
      <c r="X5" s="38"/>
      <c r="Y5" s="38"/>
      <c r="Z5" s="38">
        <v>0.9</v>
      </c>
      <c r="AA5" s="38">
        <v>1.59</v>
      </c>
      <c r="AB5" s="38">
        <v>2.33</v>
      </c>
      <c r="AC5" s="38">
        <v>2.33</v>
      </c>
      <c r="AD5" s="38">
        <v>0.51</v>
      </c>
      <c r="AE5" s="38">
        <v>1.1200000000000001</v>
      </c>
      <c r="AF5" s="49"/>
      <c r="AG5" s="38"/>
      <c r="AH5" s="38"/>
      <c r="AI5" s="38"/>
      <c r="AJ5" s="38">
        <v>0.49</v>
      </c>
      <c r="AK5" s="38">
        <v>1.02</v>
      </c>
      <c r="AL5" s="38">
        <v>0.8</v>
      </c>
      <c r="AM5" s="38">
        <v>1.54</v>
      </c>
      <c r="AN5" s="38"/>
      <c r="AO5" s="38"/>
      <c r="AP5" s="38"/>
      <c r="AQ5" s="38"/>
      <c r="AR5" s="38"/>
      <c r="AS5" s="38"/>
      <c r="AT5" s="38"/>
      <c r="AU5" s="38"/>
      <c r="AV5" s="38">
        <v>0.17</v>
      </c>
      <c r="AW5" s="38">
        <v>0.28999999999999998</v>
      </c>
      <c r="AX5" s="38"/>
      <c r="AY5" s="38"/>
      <c r="AZ5" s="38"/>
      <c r="BA5" s="38"/>
      <c r="BB5" s="38"/>
      <c r="BC5" s="38"/>
      <c r="BD5" s="38">
        <v>0.93</v>
      </c>
      <c r="BE5" s="38">
        <v>1.55</v>
      </c>
      <c r="BF5" s="38"/>
      <c r="BG5" s="38"/>
      <c r="BH5" s="38"/>
      <c r="BI5" s="38"/>
      <c r="BJ5" s="38">
        <v>1.18</v>
      </c>
      <c r="BK5" s="38">
        <v>2.06</v>
      </c>
      <c r="BL5" s="38"/>
      <c r="BM5" s="38"/>
      <c r="BN5" s="50">
        <v>2.3037999999999998</v>
      </c>
      <c r="BO5" s="50">
        <v>4.2973999999999997</v>
      </c>
      <c r="BP5" s="38"/>
      <c r="BQ5" s="38"/>
    </row>
    <row r="6" spans="1:69" ht="15" customHeight="1" x14ac:dyDescent="0.25">
      <c r="A6" s="16" t="s">
        <v>143</v>
      </c>
      <c r="B6" s="38">
        <v>0.73</v>
      </c>
      <c r="C6" s="38">
        <v>1.23</v>
      </c>
      <c r="D6" s="87"/>
      <c r="E6" s="87"/>
      <c r="F6" s="25">
        <v>1.67</v>
      </c>
      <c r="G6" s="25">
        <v>1.69</v>
      </c>
      <c r="H6" s="38">
        <v>1.17</v>
      </c>
      <c r="I6" s="38">
        <v>2.16</v>
      </c>
      <c r="J6" s="38"/>
      <c r="K6" s="38"/>
      <c r="L6" s="50"/>
      <c r="M6" s="38"/>
      <c r="N6" s="38"/>
      <c r="O6" s="38"/>
      <c r="P6" s="49">
        <v>1.0900000000000001</v>
      </c>
      <c r="Q6" s="49">
        <v>2.1800000000000002</v>
      </c>
      <c r="R6" s="38">
        <v>0.5</v>
      </c>
      <c r="S6" s="38">
        <v>0.82</v>
      </c>
      <c r="T6" s="38"/>
      <c r="U6" s="38"/>
      <c r="V6" s="38">
        <v>0.1</v>
      </c>
      <c r="W6" s="38">
        <v>0.1</v>
      </c>
      <c r="X6" s="38">
        <v>0.98</v>
      </c>
      <c r="Y6" s="38">
        <v>1.65</v>
      </c>
      <c r="Z6" s="38"/>
      <c r="AA6" s="38"/>
      <c r="AD6" s="38"/>
      <c r="AE6" s="50"/>
      <c r="AF6" s="38"/>
      <c r="AG6" s="38"/>
      <c r="AH6" s="38">
        <v>0.55000000000000004</v>
      </c>
      <c r="AI6" s="38">
        <v>1</v>
      </c>
      <c r="AJ6" s="38"/>
      <c r="AK6" s="38"/>
      <c r="AL6" s="38"/>
      <c r="AM6" s="38"/>
      <c r="AN6" s="38">
        <v>0.99</v>
      </c>
      <c r="AO6" s="38">
        <v>1.87</v>
      </c>
      <c r="AP6" s="38">
        <v>44.54</v>
      </c>
      <c r="AQ6" s="38">
        <v>76.11</v>
      </c>
      <c r="AR6" s="38">
        <v>0.49</v>
      </c>
      <c r="AS6" s="38">
        <v>0.93</v>
      </c>
      <c r="AT6" s="38">
        <v>-18.8</v>
      </c>
      <c r="AU6" s="38">
        <v>2.77</v>
      </c>
      <c r="AV6" s="38"/>
      <c r="AW6" s="38"/>
      <c r="AX6" s="38">
        <v>1.43</v>
      </c>
      <c r="AY6" s="38">
        <v>2.58</v>
      </c>
      <c r="AZ6" s="38">
        <v>0.06</v>
      </c>
      <c r="BA6" s="38">
        <v>0.13</v>
      </c>
      <c r="BB6" s="38">
        <v>1.1000000000000001</v>
      </c>
      <c r="BC6" s="38">
        <v>2.2200000000000002</v>
      </c>
      <c r="BD6" s="38"/>
      <c r="BE6" s="38"/>
      <c r="BF6" s="38">
        <v>0.92</v>
      </c>
      <c r="BG6" s="38">
        <v>1.56</v>
      </c>
      <c r="BH6" s="50">
        <v>0.34300000000000003</v>
      </c>
      <c r="BI6" s="50">
        <v>0.63900000000000001</v>
      </c>
      <c r="BJ6" s="38"/>
      <c r="BK6" s="38"/>
      <c r="BL6" s="38">
        <v>0.77</v>
      </c>
      <c r="BM6" s="38">
        <v>1.68</v>
      </c>
      <c r="BN6" s="38"/>
      <c r="BO6" s="38"/>
      <c r="BP6" s="38">
        <v>0.93</v>
      </c>
      <c r="BQ6" s="38">
        <v>1.33</v>
      </c>
    </row>
    <row r="7" spans="1:69" x14ac:dyDescent="0.25">
      <c r="A7" s="16" t="s">
        <v>144</v>
      </c>
      <c r="B7" s="49">
        <v>0.49</v>
      </c>
      <c r="C7" s="49">
        <v>0.49</v>
      </c>
      <c r="D7" s="87"/>
      <c r="E7" s="87"/>
      <c r="F7" s="50">
        <v>4.0000000000000002E-4</v>
      </c>
      <c r="G7" s="50">
        <v>4.0000000000000002E-4</v>
      </c>
      <c r="H7" s="49">
        <v>0.14000000000000001</v>
      </c>
      <c r="I7" s="49">
        <v>0.14000000000000001</v>
      </c>
      <c r="J7" s="49"/>
      <c r="K7" s="38"/>
      <c r="L7" s="38"/>
      <c r="M7" s="49"/>
      <c r="N7" s="38"/>
      <c r="O7" s="38"/>
      <c r="P7" s="49"/>
      <c r="Q7" s="50"/>
      <c r="R7" s="49">
        <v>-0.17</v>
      </c>
      <c r="S7" s="49">
        <v>-0.17</v>
      </c>
      <c r="T7" s="38"/>
      <c r="U7" s="49"/>
      <c r="V7" s="50">
        <v>0.19059999999999999</v>
      </c>
      <c r="W7" s="50">
        <v>0.19059999999999999</v>
      </c>
      <c r="X7" s="49">
        <v>0.18</v>
      </c>
      <c r="Y7" s="49">
        <v>0.18</v>
      </c>
      <c r="Z7" s="38"/>
      <c r="AA7" s="49"/>
      <c r="AB7" s="38"/>
      <c r="AC7" s="38"/>
      <c r="AD7" s="38"/>
      <c r="AE7" s="50"/>
      <c r="AF7" s="38"/>
      <c r="AG7" s="49"/>
      <c r="AH7" s="49">
        <v>0.45</v>
      </c>
      <c r="AI7" s="49">
        <v>0.45</v>
      </c>
      <c r="AJ7" s="38">
        <v>0.17</v>
      </c>
      <c r="AK7" s="38">
        <v>0.17</v>
      </c>
      <c r="AL7" s="38"/>
      <c r="AM7" s="38"/>
      <c r="AN7" s="87">
        <v>0.22</v>
      </c>
      <c r="AO7" s="87">
        <v>0.22</v>
      </c>
      <c r="AP7" s="50">
        <v>-0.88539999999999996</v>
      </c>
      <c r="AQ7" s="50">
        <v>-0.88539999999999996</v>
      </c>
      <c r="AR7" s="38"/>
      <c r="AS7" s="38"/>
      <c r="AT7" s="38">
        <v>-21.84</v>
      </c>
      <c r="AU7" s="38">
        <v>-16.34</v>
      </c>
      <c r="AV7" s="38"/>
      <c r="AW7" s="38"/>
      <c r="AX7" s="87">
        <v>0.18</v>
      </c>
      <c r="AY7" s="87">
        <v>0.08</v>
      </c>
      <c r="AZ7" s="49">
        <v>-0.62</v>
      </c>
      <c r="BA7" s="49">
        <v>-0.62</v>
      </c>
      <c r="BB7" s="38">
        <v>0.49</v>
      </c>
      <c r="BC7" s="38">
        <v>0.49</v>
      </c>
      <c r="BD7" s="38"/>
      <c r="BE7" s="38"/>
      <c r="BF7" s="50">
        <v>0.16769999999999999</v>
      </c>
      <c r="BG7" s="50">
        <v>0.16769999999999999</v>
      </c>
      <c r="BH7" s="50">
        <v>0.14399999999999999</v>
      </c>
      <c r="BI7" s="50">
        <v>0.14399999999999999</v>
      </c>
      <c r="BJ7" s="38"/>
      <c r="BK7" s="38"/>
      <c r="BL7" s="49">
        <v>0.02</v>
      </c>
      <c r="BM7" s="49">
        <v>0.18</v>
      </c>
      <c r="BN7" s="38"/>
      <c r="BO7" s="38"/>
      <c r="BP7" s="50">
        <v>0.1149</v>
      </c>
      <c r="BQ7" s="50">
        <v>0.1149</v>
      </c>
    </row>
    <row r="8" spans="1:69" x14ac:dyDescent="0.25">
      <c r="A8" s="16" t="s">
        <v>145</v>
      </c>
      <c r="B8" s="38"/>
      <c r="C8" s="49"/>
      <c r="D8" s="87">
        <v>0.39</v>
      </c>
      <c r="E8" s="49">
        <v>0.39</v>
      </c>
      <c r="F8" s="50"/>
      <c r="G8" s="50"/>
      <c r="H8" s="50"/>
      <c r="I8" s="38"/>
      <c r="J8" s="49">
        <v>0.16</v>
      </c>
      <c r="K8" s="49">
        <v>0.2</v>
      </c>
      <c r="L8" s="49">
        <v>0.02</v>
      </c>
      <c r="M8" s="49">
        <v>0.02</v>
      </c>
      <c r="N8" s="50">
        <v>6.0000000000000001E-3</v>
      </c>
      <c r="O8" s="50">
        <v>8.3500000000000005E-2</v>
      </c>
      <c r="P8" s="49">
        <v>-0.32</v>
      </c>
      <c r="Q8" s="49">
        <v>-0.32</v>
      </c>
      <c r="R8" s="38"/>
      <c r="S8" s="38"/>
      <c r="T8" s="49">
        <v>0.03</v>
      </c>
      <c r="U8" s="87">
        <v>-0.08</v>
      </c>
      <c r="V8" s="38"/>
      <c r="W8" s="38"/>
      <c r="X8" s="38"/>
      <c r="Y8" s="38"/>
      <c r="Z8" s="50">
        <v>0.15770000000000001</v>
      </c>
      <c r="AA8" s="50">
        <v>0.15770000000000001</v>
      </c>
      <c r="AB8" s="50">
        <v>8.8499999999999995E-2</v>
      </c>
      <c r="AC8" s="50">
        <v>8.8499999999999995E-2</v>
      </c>
      <c r="AD8" s="49">
        <v>0.08</v>
      </c>
      <c r="AE8" s="49">
        <v>0.08</v>
      </c>
      <c r="AF8" s="49"/>
      <c r="AG8" s="38"/>
      <c r="AH8" s="38"/>
      <c r="AI8" s="38"/>
      <c r="AJ8" s="38"/>
      <c r="AK8" s="38"/>
      <c r="AL8" s="50">
        <v>0.27900000000000003</v>
      </c>
      <c r="AM8" s="50">
        <v>0.27900000000000003</v>
      </c>
      <c r="AN8" s="38"/>
      <c r="AO8" s="38"/>
      <c r="AP8" s="38"/>
      <c r="AQ8" s="38"/>
      <c r="AR8" s="38">
        <v>1.42</v>
      </c>
      <c r="AS8" s="38">
        <v>1.42</v>
      </c>
      <c r="AT8" s="38"/>
      <c r="AU8" s="38"/>
      <c r="AV8" s="50">
        <v>-8.5800000000000001E-2</v>
      </c>
      <c r="AW8" s="50">
        <v>-8.5800000000000001E-2</v>
      </c>
      <c r="AX8" s="38"/>
      <c r="AY8" s="38"/>
      <c r="AZ8" s="38"/>
      <c r="BA8" s="38"/>
      <c r="BB8" s="38"/>
      <c r="BC8" s="38"/>
      <c r="BD8" s="50">
        <v>8.9999999999999993E-3</v>
      </c>
      <c r="BE8" s="50">
        <v>8.9999999999999993E-3</v>
      </c>
      <c r="BF8" s="38"/>
      <c r="BG8" s="38"/>
      <c r="BH8" s="38"/>
      <c r="BI8" s="38"/>
      <c r="BJ8" s="49">
        <v>0.81</v>
      </c>
      <c r="BK8" s="49">
        <v>0.81</v>
      </c>
      <c r="BL8" s="38"/>
      <c r="BM8" s="38"/>
      <c r="BN8" s="50">
        <v>-0.45350000000000001</v>
      </c>
      <c r="BO8" s="50">
        <v>-0.45350000000000001</v>
      </c>
      <c r="BP8" s="38"/>
      <c r="BQ8" s="38"/>
    </row>
    <row r="9" spans="1:69" x14ac:dyDescent="0.25">
      <c r="A9" s="16" t="s">
        <v>146</v>
      </c>
      <c r="B9" s="49">
        <v>0.49</v>
      </c>
      <c r="C9" s="49">
        <v>0.5</v>
      </c>
      <c r="D9" s="87">
        <v>0.68</v>
      </c>
      <c r="E9" s="49">
        <v>0.8</v>
      </c>
      <c r="F9" s="50">
        <v>0.17979999999999999</v>
      </c>
      <c r="G9" s="50">
        <v>0.22409999999999999</v>
      </c>
      <c r="H9" s="49">
        <v>0.77</v>
      </c>
      <c r="I9" s="49">
        <v>0.78</v>
      </c>
      <c r="J9" s="49">
        <v>0.53</v>
      </c>
      <c r="K9" s="49">
        <v>0.69</v>
      </c>
      <c r="L9" s="49">
        <v>0.52</v>
      </c>
      <c r="M9" s="49">
        <v>0.6</v>
      </c>
      <c r="N9" s="50">
        <v>0.77110000000000001</v>
      </c>
      <c r="O9" s="50">
        <v>0.76970000000000005</v>
      </c>
      <c r="P9" s="49">
        <v>0.95</v>
      </c>
      <c r="Q9" s="49">
        <v>0.95</v>
      </c>
      <c r="R9" s="49">
        <v>0.79</v>
      </c>
      <c r="S9" s="49">
        <v>0.77</v>
      </c>
      <c r="T9" s="49">
        <v>0.93</v>
      </c>
      <c r="U9" s="49">
        <v>0.78</v>
      </c>
      <c r="V9" s="50">
        <v>0.72599999999999998</v>
      </c>
      <c r="W9" s="52">
        <v>0.70040000000000002</v>
      </c>
      <c r="X9" s="49">
        <v>0.57999999999999996</v>
      </c>
      <c r="Y9" s="49">
        <v>0.65</v>
      </c>
      <c r="Z9" s="50">
        <v>0.56330000000000002</v>
      </c>
      <c r="AA9" s="50">
        <v>0.66210000000000002</v>
      </c>
      <c r="AB9" s="50">
        <v>0.39419999999999999</v>
      </c>
      <c r="AC9" s="50">
        <v>0.44469999999999998</v>
      </c>
      <c r="AD9" s="49">
        <v>0.71</v>
      </c>
      <c r="AE9" s="49">
        <v>0.69</v>
      </c>
      <c r="AF9" s="50">
        <v>0.4703</v>
      </c>
      <c r="AG9" s="50">
        <v>0.57279999999999998</v>
      </c>
      <c r="AH9" s="49">
        <v>0.87</v>
      </c>
      <c r="AI9" s="49">
        <v>0.86</v>
      </c>
      <c r="AJ9" s="49">
        <v>0.89</v>
      </c>
      <c r="AK9" s="49">
        <v>0.83</v>
      </c>
      <c r="AL9" s="50">
        <v>0.65100000000000002</v>
      </c>
      <c r="AM9" s="50">
        <v>0.61399999999999999</v>
      </c>
      <c r="AN9" s="87">
        <v>0.77</v>
      </c>
      <c r="AO9" s="87">
        <v>0.77</v>
      </c>
      <c r="AP9" s="50">
        <v>0.56359999999999999</v>
      </c>
      <c r="AQ9" s="50">
        <v>0.62129999999999996</v>
      </c>
      <c r="AR9" s="38">
        <v>72.27</v>
      </c>
      <c r="AS9" s="38">
        <v>76.319999999999993</v>
      </c>
      <c r="AT9" s="38">
        <v>73.790000000000006</v>
      </c>
      <c r="AU9" s="38">
        <v>73.3</v>
      </c>
      <c r="AV9" s="50">
        <v>0.75790000000000002</v>
      </c>
      <c r="AW9" s="50">
        <v>0.73860000000000003</v>
      </c>
      <c r="AX9" s="87">
        <v>0.43</v>
      </c>
      <c r="AY9" s="87">
        <v>0.51</v>
      </c>
      <c r="AZ9" s="49">
        <v>0.65</v>
      </c>
      <c r="BA9" s="49">
        <v>0.65</v>
      </c>
      <c r="BB9" s="38">
        <v>0.68</v>
      </c>
      <c r="BC9" s="38">
        <v>0.65</v>
      </c>
      <c r="BD9" s="50">
        <v>0.621</v>
      </c>
      <c r="BE9" s="50">
        <v>0.65300000000000002</v>
      </c>
      <c r="BF9" s="50">
        <v>0.46920000000000001</v>
      </c>
      <c r="BG9" s="50">
        <v>0.48</v>
      </c>
      <c r="BH9" s="50">
        <v>0.93679999999999997</v>
      </c>
      <c r="BI9" s="50">
        <v>0.93500000000000005</v>
      </c>
      <c r="BJ9" s="38">
        <v>0.77</v>
      </c>
      <c r="BK9" s="38">
        <v>0.77</v>
      </c>
      <c r="BL9" s="49">
        <v>0.7</v>
      </c>
      <c r="BM9" s="49">
        <v>0.56000000000000005</v>
      </c>
      <c r="BN9" s="50">
        <v>0.72660000000000002</v>
      </c>
      <c r="BO9" s="50">
        <v>0.77790000000000004</v>
      </c>
      <c r="BP9" s="50">
        <v>0.36799999999999999</v>
      </c>
      <c r="BQ9" s="50">
        <v>0.4577</v>
      </c>
    </row>
    <row r="10" spans="1:69" x14ac:dyDescent="0.25">
      <c r="A10" s="16" t="s">
        <v>147</v>
      </c>
      <c r="B10" s="49">
        <v>-0.09</v>
      </c>
      <c r="C10" s="49">
        <v>-0.08</v>
      </c>
      <c r="D10" s="87">
        <v>0.01</v>
      </c>
      <c r="E10" s="49">
        <v>7.0000000000000007E-2</v>
      </c>
      <c r="F10" s="50">
        <v>-0.17499999999999999</v>
      </c>
      <c r="G10" s="50">
        <v>-0.13220000000000001</v>
      </c>
      <c r="H10" s="49">
        <v>0.06</v>
      </c>
      <c r="I10" s="49">
        <v>0.04</v>
      </c>
      <c r="J10" s="49">
        <v>3.0000000000000001E-3</v>
      </c>
      <c r="K10" s="49">
        <v>0.06</v>
      </c>
      <c r="L10" s="49">
        <v>0.03</v>
      </c>
      <c r="M10" s="49">
        <v>0.05</v>
      </c>
      <c r="N10" s="50">
        <v>4.0399999999999998E-2</v>
      </c>
      <c r="O10" s="50">
        <v>3.5799999999999998E-2</v>
      </c>
      <c r="P10" s="49">
        <v>0.11</v>
      </c>
      <c r="Q10" s="49">
        <v>0.12</v>
      </c>
      <c r="R10" s="49"/>
      <c r="S10" s="49"/>
      <c r="T10" s="49">
        <v>0.08</v>
      </c>
      <c r="U10" s="49">
        <v>-0.04</v>
      </c>
      <c r="V10" s="50">
        <v>-4.4999999999999998E-2</v>
      </c>
      <c r="W10" s="52">
        <v>-0.05</v>
      </c>
      <c r="X10" s="87">
        <v>0.04</v>
      </c>
      <c r="Y10" s="87">
        <v>0.05</v>
      </c>
      <c r="Z10" s="50">
        <v>-0.10780000000000001</v>
      </c>
      <c r="AA10" s="50">
        <v>-4.3999999999999997E-2</v>
      </c>
      <c r="AB10" s="50">
        <v>-9.0800000000000006E-2</v>
      </c>
      <c r="AC10" s="50">
        <v>-6.1100000000000002E-2</v>
      </c>
      <c r="AD10" s="49">
        <v>0.03</v>
      </c>
      <c r="AE10" s="49">
        <v>0.03</v>
      </c>
      <c r="AF10" s="50">
        <v>2.8999999999999998E-3</v>
      </c>
      <c r="AG10" s="50">
        <v>3.5999999999999997E-2</v>
      </c>
      <c r="AH10" s="49">
        <v>0.08</v>
      </c>
      <c r="AI10" s="49">
        <v>0.08</v>
      </c>
      <c r="AJ10" s="49">
        <v>0.13</v>
      </c>
      <c r="AK10" s="49">
        <v>0.12</v>
      </c>
      <c r="AL10" s="50">
        <v>-9.1999999999999998E-2</v>
      </c>
      <c r="AM10" s="50">
        <v>-8.1000000000000003E-2</v>
      </c>
      <c r="AN10" s="87">
        <v>0.02</v>
      </c>
      <c r="AO10" s="89">
        <v>-5.0000000000000001E-3</v>
      </c>
      <c r="AP10" s="50">
        <v>6.7400000000000002E-2</v>
      </c>
      <c r="AQ10" s="50">
        <v>7.4200000000000002E-2</v>
      </c>
      <c r="AR10" s="38">
        <v>8.84</v>
      </c>
      <c r="AS10" s="38">
        <v>8.5500000000000007</v>
      </c>
      <c r="AT10" s="38">
        <v>6.3</v>
      </c>
      <c r="AU10" s="38">
        <v>6.11</v>
      </c>
      <c r="AV10" s="50">
        <v>7.6899999999999996E-2</v>
      </c>
      <c r="AW10" s="50">
        <v>8.8300000000000003E-2</v>
      </c>
      <c r="AX10" s="87">
        <v>-0.11</v>
      </c>
      <c r="AY10" s="87">
        <v>-0.05</v>
      </c>
      <c r="AZ10" s="49">
        <v>-0.13</v>
      </c>
      <c r="BA10" s="49">
        <v>-0.14000000000000001</v>
      </c>
      <c r="BB10" s="38">
        <v>-0.01</v>
      </c>
      <c r="BC10" s="38">
        <v>-0.02</v>
      </c>
      <c r="BD10" s="50">
        <v>4.9000000000000002E-2</v>
      </c>
      <c r="BE10" s="50">
        <v>5.0999999999999997E-2</v>
      </c>
      <c r="BF10" s="50">
        <v>-6.6600000000000006E-2</v>
      </c>
      <c r="BG10" s="50">
        <v>-6.9699999999999998E-2</v>
      </c>
      <c r="BH10" s="50">
        <v>5.0900000000000001E-2</v>
      </c>
      <c r="BI10" s="50">
        <v>4.5999999999999999E-2</v>
      </c>
      <c r="BJ10" s="38">
        <v>0.09</v>
      </c>
      <c r="BK10" s="38">
        <v>0.09</v>
      </c>
      <c r="BL10" s="49">
        <v>0.02</v>
      </c>
      <c r="BM10" s="49">
        <v>-0.03</v>
      </c>
      <c r="BN10" s="50">
        <v>5.3199999999999997E-2</v>
      </c>
      <c r="BO10" s="50">
        <v>5.1700000000000003E-2</v>
      </c>
      <c r="BP10" s="50">
        <v>2.86E-2</v>
      </c>
      <c r="BQ10" s="50">
        <v>4.9000000000000002E-2</v>
      </c>
    </row>
    <row r="11" spans="1:69" ht="30" x14ac:dyDescent="0.25">
      <c r="A11" s="16" t="s">
        <v>148</v>
      </c>
      <c r="B11" s="49">
        <v>0.87</v>
      </c>
      <c r="C11" s="49">
        <v>0.89</v>
      </c>
      <c r="D11" s="87">
        <v>0.77</v>
      </c>
      <c r="E11" s="49">
        <v>0.76</v>
      </c>
      <c r="F11" s="50">
        <v>1.8100000000000002E-2</v>
      </c>
      <c r="G11" s="50">
        <v>2.5399999999999999E-2</v>
      </c>
      <c r="H11" s="49">
        <v>0.42</v>
      </c>
      <c r="I11" s="49">
        <v>0.42</v>
      </c>
      <c r="J11" s="49">
        <v>0.19</v>
      </c>
      <c r="K11" s="49">
        <v>0.23</v>
      </c>
      <c r="L11" s="49">
        <v>0.22</v>
      </c>
      <c r="M11" s="49">
        <v>0.28999999999999998</v>
      </c>
      <c r="N11" s="50">
        <v>0.32619999999999999</v>
      </c>
      <c r="O11" s="50">
        <v>0.32169999999999999</v>
      </c>
      <c r="P11" s="49">
        <v>0.56999999999999995</v>
      </c>
      <c r="Q11" s="49">
        <v>0.65</v>
      </c>
      <c r="R11" s="49">
        <v>0.56000000000000005</v>
      </c>
      <c r="S11" s="49">
        <v>0.67</v>
      </c>
      <c r="T11" s="49">
        <v>0.6</v>
      </c>
      <c r="U11" s="49">
        <v>0.77</v>
      </c>
      <c r="V11" s="52">
        <v>0.56620000000000004</v>
      </c>
      <c r="W11" s="52">
        <v>0.39029999999999998</v>
      </c>
      <c r="X11" s="49">
        <v>0.3</v>
      </c>
      <c r="Y11" s="50">
        <v>0.34</v>
      </c>
      <c r="Z11" s="50">
        <v>3.2399999999999998E-2</v>
      </c>
      <c r="AA11" s="50">
        <v>0.40970000000000001</v>
      </c>
      <c r="AB11" s="50">
        <v>0.16220000000000001</v>
      </c>
      <c r="AC11" s="50">
        <v>0.2054</v>
      </c>
      <c r="AD11" s="49">
        <v>0.27</v>
      </c>
      <c r="AE11" s="49">
        <v>0.26</v>
      </c>
      <c r="AF11" s="49">
        <v>0.13739999999999999</v>
      </c>
      <c r="AG11" s="49">
        <v>0.14610000000000001</v>
      </c>
      <c r="AH11" s="49">
        <v>0.41</v>
      </c>
      <c r="AI11" s="49">
        <v>0.43</v>
      </c>
      <c r="AJ11" s="49">
        <v>0.53</v>
      </c>
      <c r="AK11" s="49">
        <v>0.44</v>
      </c>
      <c r="AL11" s="50">
        <v>0.36099999999999999</v>
      </c>
      <c r="AM11" s="50">
        <v>0.36599999999999999</v>
      </c>
      <c r="AN11" s="49">
        <v>0.46</v>
      </c>
      <c r="AO11" s="49">
        <v>0.47</v>
      </c>
      <c r="AP11" s="50">
        <v>0.2437</v>
      </c>
      <c r="AQ11" s="50">
        <v>0.25159999999999999</v>
      </c>
      <c r="AR11" s="38">
        <v>18.95</v>
      </c>
      <c r="AS11" s="38">
        <v>20.079999999999998</v>
      </c>
      <c r="AT11" s="38">
        <v>24.87</v>
      </c>
      <c r="AU11" s="38">
        <v>23.27</v>
      </c>
      <c r="AV11" s="50">
        <v>0.65900000000000003</v>
      </c>
      <c r="AW11" s="50">
        <v>0.71409999999999996</v>
      </c>
      <c r="AX11" s="87">
        <v>0.19</v>
      </c>
      <c r="AY11" s="87">
        <v>0.21</v>
      </c>
      <c r="AZ11" s="49">
        <v>8.07</v>
      </c>
      <c r="BA11" s="49">
        <v>6.9</v>
      </c>
      <c r="BB11" s="38">
        <v>0.42</v>
      </c>
      <c r="BC11" s="38">
        <v>0.35</v>
      </c>
      <c r="BD11" s="50">
        <v>0.17699999999999999</v>
      </c>
      <c r="BE11" s="50">
        <v>0.20699999999999999</v>
      </c>
      <c r="BF11" s="50">
        <v>0.1724</v>
      </c>
      <c r="BG11" s="50">
        <v>0.1915</v>
      </c>
      <c r="BH11" s="50">
        <v>0.24429999999999999</v>
      </c>
      <c r="BI11" s="50">
        <v>0.22420000000000001</v>
      </c>
      <c r="BJ11" s="38">
        <v>0.32</v>
      </c>
      <c r="BK11" s="38">
        <v>0.31</v>
      </c>
      <c r="BL11" s="49">
        <v>0.34</v>
      </c>
      <c r="BM11" s="49">
        <v>0.31</v>
      </c>
      <c r="BN11" s="50">
        <v>0.20660000000000001</v>
      </c>
      <c r="BO11" s="50">
        <v>0.2036</v>
      </c>
      <c r="BP11" s="50">
        <v>0.1113</v>
      </c>
      <c r="BQ11" s="50">
        <v>0.14319999999999999</v>
      </c>
    </row>
    <row r="12" spans="1:69" ht="30" x14ac:dyDescent="0.25">
      <c r="A12" s="16" t="s">
        <v>149</v>
      </c>
      <c r="B12" s="49">
        <v>1.78</v>
      </c>
      <c r="C12" s="49">
        <v>1.78</v>
      </c>
      <c r="D12" s="87"/>
      <c r="E12" s="49"/>
      <c r="F12" s="50">
        <v>0.1066</v>
      </c>
      <c r="G12" s="50">
        <v>0.1134</v>
      </c>
      <c r="H12" s="49">
        <v>0.54</v>
      </c>
      <c r="I12" s="49">
        <v>0.54</v>
      </c>
      <c r="J12" s="49">
        <v>0.36</v>
      </c>
      <c r="K12" s="49">
        <v>0.33</v>
      </c>
      <c r="L12" s="49">
        <v>0.43</v>
      </c>
      <c r="M12" s="49">
        <v>0.47</v>
      </c>
      <c r="N12" s="50"/>
      <c r="O12" s="50"/>
      <c r="P12" s="49"/>
      <c r="Q12" s="50"/>
      <c r="R12" s="49">
        <v>0.71</v>
      </c>
      <c r="S12" s="49">
        <v>0.87</v>
      </c>
      <c r="T12" s="49">
        <v>0.59</v>
      </c>
      <c r="U12" s="49">
        <v>0.88</v>
      </c>
      <c r="V12" s="52">
        <v>0.77990000000000004</v>
      </c>
      <c r="W12" s="52">
        <v>0.55730000000000002</v>
      </c>
      <c r="X12" s="49">
        <v>0.51</v>
      </c>
      <c r="Y12" s="49">
        <v>0.5</v>
      </c>
      <c r="Z12" s="50">
        <v>5.4199999999999998E-2</v>
      </c>
      <c r="AA12" s="50">
        <v>0.54830000000000001</v>
      </c>
      <c r="AB12" s="50">
        <v>0.40889999999999999</v>
      </c>
      <c r="AC12" s="50">
        <v>0.45490000000000003</v>
      </c>
      <c r="AD12" s="49">
        <v>0.37</v>
      </c>
      <c r="AE12" s="49">
        <v>0.36</v>
      </c>
      <c r="AF12" s="50">
        <v>0.28949999999999998</v>
      </c>
      <c r="AG12" s="49">
        <v>0.25180000000000002</v>
      </c>
      <c r="AH12" s="49">
        <v>0.46</v>
      </c>
      <c r="AI12" s="49">
        <v>0.5</v>
      </c>
      <c r="AJ12" s="49">
        <v>0.57999999999999996</v>
      </c>
      <c r="AK12" s="49">
        <v>0.52</v>
      </c>
      <c r="AL12" s="50">
        <v>0.53300000000000003</v>
      </c>
      <c r="AM12" s="50">
        <v>0.56000000000000005</v>
      </c>
      <c r="AN12" s="49">
        <v>0.59</v>
      </c>
      <c r="AO12" s="49">
        <v>0.62</v>
      </c>
      <c r="AP12" s="50">
        <v>0.42659999999999998</v>
      </c>
      <c r="AQ12" s="50">
        <v>0.39710000000000001</v>
      </c>
      <c r="AR12" s="38">
        <v>25.16</v>
      </c>
      <c r="AS12" s="38">
        <v>25.12</v>
      </c>
      <c r="AT12" s="38">
        <v>32.840000000000003</v>
      </c>
      <c r="AU12" s="38">
        <v>31.1</v>
      </c>
      <c r="AV12" s="38"/>
      <c r="AW12" s="38"/>
      <c r="AX12" s="87">
        <v>0.44</v>
      </c>
      <c r="AY12" s="87">
        <v>0.4</v>
      </c>
      <c r="AZ12" s="49">
        <v>12.18</v>
      </c>
      <c r="BA12" s="49">
        <v>10.36</v>
      </c>
      <c r="BB12" s="38">
        <v>0.61</v>
      </c>
      <c r="BC12" s="38">
        <v>0.53</v>
      </c>
      <c r="BD12" s="50">
        <v>0.28100000000000003</v>
      </c>
      <c r="BE12" s="50">
        <v>0.311</v>
      </c>
      <c r="BF12" s="50">
        <v>0.3669</v>
      </c>
      <c r="BG12" s="50">
        <v>0.39850000000000002</v>
      </c>
      <c r="BH12" s="50">
        <v>0.26</v>
      </c>
      <c r="BI12" s="50">
        <v>0.23899999999999999</v>
      </c>
      <c r="BJ12" s="38"/>
      <c r="BK12" s="38"/>
      <c r="BL12" s="49">
        <v>0.47</v>
      </c>
      <c r="BM12" s="49">
        <v>0.53</v>
      </c>
      <c r="BN12" s="38"/>
      <c r="BO12" s="38"/>
      <c r="BP12" s="50">
        <v>0.3019</v>
      </c>
      <c r="BQ12" s="50">
        <v>0.312</v>
      </c>
    </row>
    <row r="13" spans="1:69" ht="15" customHeight="1" x14ac:dyDescent="0.25">
      <c r="A13" s="16" t="s">
        <v>150</v>
      </c>
      <c r="B13" s="49">
        <v>0.55000000000000004</v>
      </c>
      <c r="C13" s="49">
        <v>0.69</v>
      </c>
      <c r="D13" s="87"/>
      <c r="E13" s="49"/>
      <c r="F13" s="50">
        <v>1.3334999999999999</v>
      </c>
      <c r="G13" s="50">
        <v>1.2273000000000001</v>
      </c>
      <c r="H13" s="49">
        <v>0.93</v>
      </c>
      <c r="I13" s="49">
        <v>0.93</v>
      </c>
      <c r="J13" s="49">
        <v>0.75</v>
      </c>
      <c r="K13" s="49">
        <v>0.68</v>
      </c>
      <c r="L13" s="49">
        <v>0.84</v>
      </c>
      <c r="M13" s="49">
        <v>0.81</v>
      </c>
      <c r="N13" s="50"/>
      <c r="O13" s="50"/>
      <c r="P13" s="49"/>
      <c r="Q13" s="50"/>
      <c r="R13" s="49">
        <v>0.62</v>
      </c>
      <c r="S13" s="49">
        <v>0.46</v>
      </c>
      <c r="T13" s="49">
        <v>0.94</v>
      </c>
      <c r="U13" s="49">
        <v>1.02</v>
      </c>
      <c r="V13" s="52">
        <v>0.22800000000000001</v>
      </c>
      <c r="W13" s="52">
        <v>0.51649999999999996</v>
      </c>
      <c r="X13" s="49">
        <v>0.55000000000000004</v>
      </c>
      <c r="Y13" s="49">
        <v>0.59</v>
      </c>
      <c r="Z13" s="50">
        <v>0</v>
      </c>
      <c r="AA13" s="50">
        <v>0.72909999999999997</v>
      </c>
      <c r="AB13" s="50">
        <v>0.83930000000000005</v>
      </c>
      <c r="AC13" s="50">
        <v>0.80200000000000005</v>
      </c>
      <c r="AD13" s="49">
        <v>0.75</v>
      </c>
      <c r="AE13" s="49">
        <v>0.75</v>
      </c>
      <c r="AF13" s="50">
        <v>0.92330000000000001</v>
      </c>
      <c r="AG13" s="49">
        <v>0.91579999999999995</v>
      </c>
      <c r="AH13" s="49">
        <v>0.73</v>
      </c>
      <c r="AI13" s="49">
        <v>0.72</v>
      </c>
      <c r="AJ13" s="49">
        <v>0.75</v>
      </c>
      <c r="AK13" s="49">
        <v>0.75</v>
      </c>
      <c r="AL13" s="50">
        <v>0.85</v>
      </c>
      <c r="AM13" s="50">
        <v>0.83499999999999996</v>
      </c>
      <c r="AN13" s="49">
        <v>0.57999999999999996</v>
      </c>
      <c r="AO13" s="49">
        <v>0.73</v>
      </c>
      <c r="AP13" s="50">
        <v>1.1813</v>
      </c>
      <c r="AQ13" s="50">
        <v>1.0032000000000001</v>
      </c>
      <c r="AR13" s="38">
        <v>92.85</v>
      </c>
      <c r="AS13" s="38">
        <v>92.81</v>
      </c>
      <c r="AT13" s="38">
        <v>110.16</v>
      </c>
      <c r="AU13" s="38">
        <v>107.44</v>
      </c>
      <c r="AV13" s="38"/>
      <c r="AW13" s="38"/>
      <c r="AX13" s="87">
        <v>0.87</v>
      </c>
      <c r="AY13" s="87">
        <v>0.83</v>
      </c>
      <c r="AZ13" s="49">
        <v>0.89</v>
      </c>
      <c r="BA13" s="49">
        <v>0.62</v>
      </c>
      <c r="BB13" s="38">
        <v>0.59</v>
      </c>
      <c r="BC13" s="38">
        <v>0.64</v>
      </c>
      <c r="BD13" s="50">
        <v>0.89800000000000002</v>
      </c>
      <c r="BE13" s="50">
        <v>0.89700000000000002</v>
      </c>
      <c r="BF13" s="50">
        <v>0.7419</v>
      </c>
      <c r="BG13" s="50">
        <v>0.76580000000000004</v>
      </c>
      <c r="BH13" s="50">
        <v>0.67579999999999996</v>
      </c>
      <c r="BI13" s="50">
        <v>0.69569999999999999</v>
      </c>
      <c r="BJ13" s="38"/>
      <c r="BK13" s="38"/>
      <c r="BL13" s="49">
        <v>0.74</v>
      </c>
      <c r="BM13" s="49">
        <v>0.77</v>
      </c>
      <c r="BN13" s="38"/>
      <c r="BO13" s="38"/>
      <c r="BP13" s="50">
        <v>0.79249999999999998</v>
      </c>
      <c r="BQ13" s="50">
        <v>0.79849999999999999</v>
      </c>
    </row>
    <row r="14" spans="1:69" ht="15" customHeight="1" x14ac:dyDescent="0.25">
      <c r="A14" s="16" t="s">
        <v>151</v>
      </c>
      <c r="B14" s="49">
        <v>2.2200000000000002</v>
      </c>
      <c r="C14" s="49">
        <v>2.37</v>
      </c>
      <c r="D14" s="87">
        <v>1.65</v>
      </c>
      <c r="E14" s="49">
        <v>1.55</v>
      </c>
      <c r="F14" s="50">
        <v>1.2527999999999999</v>
      </c>
      <c r="G14" s="50">
        <v>1.1986000000000001</v>
      </c>
      <c r="H14" s="49">
        <v>1.37</v>
      </c>
      <c r="I14" s="49">
        <v>1.36</v>
      </c>
      <c r="J14" s="49">
        <v>1.03</v>
      </c>
      <c r="K14" s="49">
        <v>0.97</v>
      </c>
      <c r="L14" s="49">
        <v>1.21</v>
      </c>
      <c r="M14" s="49">
        <v>1.22</v>
      </c>
      <c r="N14" s="50">
        <v>1.0920000000000001</v>
      </c>
      <c r="O14" s="50">
        <v>1.1137999999999999</v>
      </c>
      <c r="P14" s="49">
        <v>1.22</v>
      </c>
      <c r="Q14" s="49">
        <v>1.3</v>
      </c>
      <c r="R14" s="49">
        <v>1.25</v>
      </c>
      <c r="S14" s="49">
        <v>1.25</v>
      </c>
      <c r="T14" s="49">
        <v>1.54</v>
      </c>
      <c r="U14" s="49">
        <v>1.79</v>
      </c>
      <c r="V14" s="52">
        <v>0.95420000000000005</v>
      </c>
      <c r="W14" s="52">
        <v>1.0174000000000001</v>
      </c>
      <c r="X14" s="49">
        <v>1.02</v>
      </c>
      <c r="Y14" s="50">
        <v>1.05</v>
      </c>
      <c r="Z14" s="50">
        <v>-0.10780000000000001</v>
      </c>
      <c r="AA14" s="50">
        <v>1.1918</v>
      </c>
      <c r="AB14" s="50">
        <v>1.0246</v>
      </c>
      <c r="AC14" s="50">
        <v>1.0417000000000001</v>
      </c>
      <c r="AD14" s="49">
        <v>1.03</v>
      </c>
      <c r="AE14" s="49">
        <v>1.01</v>
      </c>
      <c r="AF14" s="50">
        <v>1.0962000000000001</v>
      </c>
      <c r="AG14" s="49">
        <v>1.0909</v>
      </c>
      <c r="AH14" s="49">
        <v>1.1599999999999999</v>
      </c>
      <c r="AI14" s="49">
        <v>1.18</v>
      </c>
      <c r="AJ14" s="49">
        <v>1.32</v>
      </c>
      <c r="AK14" s="49">
        <v>1.25</v>
      </c>
      <c r="AL14" s="50">
        <v>1.2110000000000001</v>
      </c>
      <c r="AM14" s="50">
        <v>1.224</v>
      </c>
      <c r="AN14" s="49">
        <v>1.03</v>
      </c>
      <c r="AO14" s="49">
        <v>1.18</v>
      </c>
      <c r="AP14" s="50">
        <v>1.579</v>
      </c>
      <c r="AQ14" s="50">
        <v>1.3771</v>
      </c>
      <c r="AR14" s="38">
        <v>117.02</v>
      </c>
      <c r="AS14" s="38">
        <v>116.64</v>
      </c>
      <c r="AT14" s="38">
        <v>141.51</v>
      </c>
      <c r="AU14" s="38">
        <v>137.02000000000001</v>
      </c>
      <c r="AV14" s="50">
        <v>1.3103</v>
      </c>
      <c r="AW14" s="50">
        <v>1.6009</v>
      </c>
      <c r="AX14" s="87">
        <v>1.1200000000000001</v>
      </c>
      <c r="AY14" s="87">
        <v>1.0900000000000001</v>
      </c>
      <c r="AZ14" s="49">
        <v>13.07</v>
      </c>
      <c r="BA14" s="49">
        <v>10.98</v>
      </c>
      <c r="BB14" s="38">
        <v>1.03</v>
      </c>
      <c r="BC14" s="38">
        <v>1</v>
      </c>
      <c r="BD14" s="50">
        <v>1.113</v>
      </c>
      <c r="BE14" s="50">
        <v>1.129</v>
      </c>
      <c r="BF14" s="50">
        <v>0.90820000000000001</v>
      </c>
      <c r="BG14" s="50">
        <v>0.95</v>
      </c>
      <c r="BH14" s="50">
        <v>0.93059999999999998</v>
      </c>
      <c r="BI14" s="50">
        <v>0.92949999999999999</v>
      </c>
      <c r="BJ14" s="49">
        <v>1.0900000000000001</v>
      </c>
      <c r="BK14" s="49">
        <v>1.1100000000000001</v>
      </c>
      <c r="BL14" s="49">
        <v>1.1100000000000001</v>
      </c>
      <c r="BM14" s="49">
        <v>1.1299999999999999</v>
      </c>
      <c r="BN14" s="50">
        <v>1.4845999999999999</v>
      </c>
      <c r="BO14" s="50">
        <v>1.3978999999999999</v>
      </c>
      <c r="BP14" s="50">
        <v>1.0305</v>
      </c>
      <c r="BQ14" s="50">
        <v>1.0543</v>
      </c>
    </row>
    <row r="15" spans="1:69" ht="15" customHeight="1" x14ac:dyDescent="0.25">
      <c r="A15" s="16" t="s">
        <v>152</v>
      </c>
      <c r="B15" s="38">
        <v>2.2799999999999998</v>
      </c>
      <c r="C15" s="25">
        <v>1.33</v>
      </c>
      <c r="D15" s="87">
        <v>2.94</v>
      </c>
      <c r="E15" s="87">
        <v>1.37</v>
      </c>
      <c r="F15" s="25">
        <v>0.99</v>
      </c>
      <c r="G15" s="25">
        <v>3.14</v>
      </c>
      <c r="H15" s="38">
        <v>2.8</v>
      </c>
      <c r="I15" s="38">
        <v>1.51</v>
      </c>
      <c r="J15" s="38">
        <v>5.4</v>
      </c>
      <c r="K15" s="38">
        <v>5.48</v>
      </c>
      <c r="L15" s="51">
        <v>6.12</v>
      </c>
      <c r="M15" s="38">
        <v>3.3</v>
      </c>
      <c r="N15" s="38">
        <v>8.3699999999999992</v>
      </c>
      <c r="O15" s="38">
        <v>4.17</v>
      </c>
      <c r="P15" s="49">
        <v>2.4500000000000002</v>
      </c>
      <c r="Q15" s="49">
        <v>1.23</v>
      </c>
      <c r="R15" s="38">
        <v>2.87</v>
      </c>
      <c r="S15" s="38">
        <v>1.8</v>
      </c>
      <c r="T15" s="38">
        <v>3.32</v>
      </c>
      <c r="U15" s="38">
        <v>2.48</v>
      </c>
      <c r="V15" s="38">
        <v>18.09</v>
      </c>
      <c r="W15" s="38">
        <v>18.09</v>
      </c>
      <c r="X15" s="38">
        <v>6.19</v>
      </c>
      <c r="Y15" s="38">
        <v>3.23</v>
      </c>
      <c r="Z15" s="38">
        <v>4.13</v>
      </c>
      <c r="AA15" s="38">
        <v>1.89</v>
      </c>
      <c r="AB15" s="38">
        <v>3.11</v>
      </c>
      <c r="AC15" s="38">
        <v>3.11</v>
      </c>
      <c r="AD15" s="38">
        <v>10.54</v>
      </c>
      <c r="AE15" s="25">
        <v>5.0199999999999996</v>
      </c>
      <c r="AF15" s="38"/>
      <c r="AG15" s="38">
        <v>2.93</v>
      </c>
      <c r="AH15" s="38">
        <v>4.3</v>
      </c>
      <c r="AI15" s="38">
        <v>2.39</v>
      </c>
      <c r="AJ15" s="38">
        <v>4.97</v>
      </c>
      <c r="AK15" s="38">
        <v>2.63</v>
      </c>
      <c r="AL15" s="38">
        <v>6.9</v>
      </c>
      <c r="AM15" s="38">
        <v>3.72</v>
      </c>
      <c r="AN15" s="38">
        <v>2.73</v>
      </c>
      <c r="AO15" s="38">
        <v>1.44</v>
      </c>
      <c r="AP15" s="38">
        <v>8.32</v>
      </c>
      <c r="AQ15" s="38">
        <v>4.3899999999999997</v>
      </c>
      <c r="AR15" s="38">
        <v>6.09</v>
      </c>
      <c r="AS15" s="38">
        <v>2.96</v>
      </c>
      <c r="AT15" s="38">
        <v>0.18</v>
      </c>
      <c r="AU15" s="38">
        <v>3.59</v>
      </c>
      <c r="AV15" s="38">
        <v>7.9</v>
      </c>
      <c r="AW15" s="38">
        <v>4.72</v>
      </c>
      <c r="AX15" s="38">
        <v>7.13</v>
      </c>
      <c r="AY15" s="38">
        <v>3.32</v>
      </c>
      <c r="AZ15" s="38">
        <v>2.69</v>
      </c>
      <c r="BA15" s="38">
        <v>1.1399999999999999</v>
      </c>
      <c r="BB15" s="38">
        <v>2.2599999999999998</v>
      </c>
      <c r="BC15" s="38">
        <v>1.17</v>
      </c>
      <c r="BD15" s="38">
        <v>3.63</v>
      </c>
      <c r="BE15" s="38">
        <v>3.63</v>
      </c>
      <c r="BF15" s="38">
        <v>5.35</v>
      </c>
      <c r="BG15" s="38">
        <v>3.09</v>
      </c>
      <c r="BH15" s="50">
        <v>12.3729</v>
      </c>
      <c r="BI15" s="50">
        <v>6.6555999999999997</v>
      </c>
      <c r="BJ15" s="38">
        <v>2.31</v>
      </c>
      <c r="BK15" s="38">
        <v>1.33</v>
      </c>
      <c r="BL15" s="38">
        <v>5.77</v>
      </c>
      <c r="BM15" s="38">
        <v>3.25</v>
      </c>
      <c r="BN15" s="50">
        <v>8.8511000000000006</v>
      </c>
      <c r="BO15" s="50">
        <v>4.3956</v>
      </c>
      <c r="BP15" s="38">
        <v>2.3199999999999998</v>
      </c>
      <c r="BQ15" s="38">
        <v>3.07</v>
      </c>
    </row>
    <row r="16" spans="1:69" x14ac:dyDescent="0.25">
      <c r="A16" s="16" t="s">
        <v>153</v>
      </c>
      <c r="B16" s="38">
        <v>-1.37</v>
      </c>
      <c r="C16" s="25">
        <v>-1.46</v>
      </c>
      <c r="D16" s="87">
        <v>-0.73</v>
      </c>
      <c r="E16" s="87">
        <v>-0.72</v>
      </c>
      <c r="F16" s="25">
        <v>-0.26</v>
      </c>
      <c r="G16" s="25">
        <v>-0.2</v>
      </c>
      <c r="H16" s="38">
        <v>-0.42</v>
      </c>
      <c r="I16" s="38">
        <v>-0.42</v>
      </c>
      <c r="J16" s="38">
        <v>-0.04</v>
      </c>
      <c r="K16" s="38">
        <v>-0.01</v>
      </c>
      <c r="L16" s="53">
        <v>-0.28000000000000003</v>
      </c>
      <c r="M16" s="38">
        <v>-0.28999999999999998</v>
      </c>
      <c r="N16" s="38">
        <v>-0.08</v>
      </c>
      <c r="O16" s="38">
        <v>-0.11</v>
      </c>
      <c r="P16" s="49">
        <v>-0.24</v>
      </c>
      <c r="Q16" s="49">
        <v>-0.31</v>
      </c>
      <c r="R16" s="38">
        <v>-0.24</v>
      </c>
      <c r="S16" s="38">
        <v>-0.15</v>
      </c>
      <c r="T16" s="38">
        <v>-0.89</v>
      </c>
      <c r="U16" s="38">
        <v>-0.88</v>
      </c>
      <c r="V16" s="52">
        <v>-6.7299999999999999E-2</v>
      </c>
      <c r="W16" s="52">
        <v>6.4799999999999996E-2</v>
      </c>
      <c r="X16" s="38">
        <v>-0.05</v>
      </c>
      <c r="Y16" s="38">
        <v>-0.09</v>
      </c>
      <c r="Z16" s="38">
        <v>1.1200000000000001</v>
      </c>
      <c r="AA16" s="38">
        <v>-0.33</v>
      </c>
      <c r="AB16" s="38">
        <v>-0.04</v>
      </c>
      <c r="AC16" s="38">
        <v>-0.05</v>
      </c>
      <c r="AD16" s="38">
        <v>0</v>
      </c>
      <c r="AE16" s="25">
        <v>-0.01</v>
      </c>
      <c r="AF16" s="50">
        <v>-8.8900000000000007E-2</v>
      </c>
      <c r="AG16" s="50">
        <v>-0.11169999999999999</v>
      </c>
      <c r="AH16" s="38">
        <v>-0.28000000000000003</v>
      </c>
      <c r="AI16" s="38">
        <v>-0.27</v>
      </c>
      <c r="AJ16" s="38">
        <v>-0.36</v>
      </c>
      <c r="AK16" s="38">
        <v>-0.3</v>
      </c>
      <c r="AL16" s="38">
        <v>-0.27</v>
      </c>
      <c r="AM16" s="38">
        <v>-0.26</v>
      </c>
      <c r="AN16" s="38">
        <v>-0.04</v>
      </c>
      <c r="AO16" s="38">
        <v>-0.31</v>
      </c>
      <c r="AP16" s="38">
        <v>-0.59</v>
      </c>
      <c r="AQ16" s="38">
        <v>-0.37</v>
      </c>
      <c r="AR16" s="38">
        <v>-0.17</v>
      </c>
      <c r="AS16" s="38">
        <v>-0.19</v>
      </c>
      <c r="AT16" s="38">
        <v>-0.42</v>
      </c>
      <c r="AU16" s="38">
        <v>-0.37</v>
      </c>
      <c r="AV16" s="38">
        <v>-0.54</v>
      </c>
      <c r="AW16" s="38">
        <v>-0.61</v>
      </c>
      <c r="AX16" s="38">
        <v>-0.12</v>
      </c>
      <c r="AY16" s="38">
        <v>-0.14000000000000001</v>
      </c>
      <c r="AZ16" s="38">
        <v>-23.91</v>
      </c>
      <c r="BA16" s="38">
        <v>-20.239999999999998</v>
      </c>
      <c r="BB16" s="38">
        <v>-0.02</v>
      </c>
      <c r="BC16" s="38">
        <v>-0.04</v>
      </c>
      <c r="BD16" s="38">
        <v>-0.15</v>
      </c>
      <c r="BE16" s="38">
        <v>-0.15</v>
      </c>
      <c r="BF16" s="38">
        <v>0.05</v>
      </c>
      <c r="BG16" s="38">
        <v>0.03</v>
      </c>
      <c r="BH16" s="50">
        <v>5.6500000000000002E-2</v>
      </c>
      <c r="BI16" s="50">
        <v>7.2099999999999997E-2</v>
      </c>
      <c r="BJ16" s="38">
        <v>-0.15</v>
      </c>
      <c r="BK16" s="38">
        <v>-0.15</v>
      </c>
      <c r="BL16" s="38">
        <v>-0.12</v>
      </c>
      <c r="BM16" s="38">
        <v>-0.1</v>
      </c>
      <c r="BN16" s="50">
        <v>-0.49199999999999999</v>
      </c>
      <c r="BO16" s="50">
        <v>-0.40229999999999999</v>
      </c>
      <c r="BP16" s="38">
        <v>-0.04</v>
      </c>
      <c r="BQ16" s="38">
        <v>-0.06</v>
      </c>
    </row>
    <row r="17" spans="1:69" x14ac:dyDescent="0.25">
      <c r="A17" s="16" t="s">
        <v>154</v>
      </c>
      <c r="B17" s="49">
        <v>-1.26</v>
      </c>
      <c r="C17" s="49">
        <v>-1.37</v>
      </c>
      <c r="D17" s="87">
        <v>-0.66</v>
      </c>
      <c r="E17" s="49">
        <v>-0.64</v>
      </c>
      <c r="F17" s="50">
        <v>-0.36080000000000001</v>
      </c>
      <c r="G17" s="50">
        <v>-3.49E-2</v>
      </c>
      <c r="H17" s="49">
        <v>-0.34</v>
      </c>
      <c r="I17" s="49">
        <v>-0.34</v>
      </c>
      <c r="J17" s="49">
        <v>0.13</v>
      </c>
      <c r="K17" s="49">
        <v>0.12</v>
      </c>
      <c r="L17" s="49">
        <v>-0.04</v>
      </c>
      <c r="M17" s="49">
        <v>-0.06</v>
      </c>
      <c r="N17" s="50">
        <v>0.11020000000000001</v>
      </c>
      <c r="O17" s="50">
        <v>7.0300000000000001E-2</v>
      </c>
      <c r="P17" s="49">
        <v>-0.18</v>
      </c>
      <c r="Q17" s="49">
        <v>-0.25</v>
      </c>
      <c r="R17" s="49">
        <v>-0.16</v>
      </c>
      <c r="S17" s="49">
        <v>-7.0000000000000007E-2</v>
      </c>
      <c r="T17" s="49">
        <v>-0.85</v>
      </c>
      <c r="U17" s="49">
        <v>-0.82</v>
      </c>
      <c r="V17" s="52">
        <v>0.57899999999999996</v>
      </c>
      <c r="W17" s="52">
        <v>0.77459999999999996</v>
      </c>
      <c r="X17" s="49">
        <v>0.09</v>
      </c>
      <c r="Y17" s="50">
        <v>0.06</v>
      </c>
      <c r="Z17" s="50">
        <v>-0.1956</v>
      </c>
      <c r="AA17" s="50">
        <v>-0.23980000000000001</v>
      </c>
      <c r="AB17" s="50">
        <v>9.0999999999999998E-2</v>
      </c>
      <c r="AC17" s="50">
        <v>0.09</v>
      </c>
      <c r="AD17" s="49">
        <v>0.16</v>
      </c>
      <c r="AE17" s="49">
        <v>0.16</v>
      </c>
      <c r="AF17" s="50">
        <v>1.84E-2</v>
      </c>
      <c r="AG17" s="50">
        <v>1.4E-3</v>
      </c>
      <c r="AH17" s="49">
        <v>-0.17</v>
      </c>
      <c r="AI17" s="49">
        <v>-0.13</v>
      </c>
      <c r="AJ17" s="49">
        <v>-0.26</v>
      </c>
      <c r="AK17" s="49">
        <v>-0.2</v>
      </c>
      <c r="AL17" s="50">
        <v>6.7000000000000004E-2</v>
      </c>
      <c r="AM17" s="50">
        <v>1.4E-2</v>
      </c>
      <c r="AN17" s="50">
        <v>2E-3</v>
      </c>
      <c r="AO17" s="50">
        <v>-0.24399999999999999</v>
      </c>
      <c r="AP17" s="50">
        <v>-0.378</v>
      </c>
      <c r="AQ17" s="50">
        <v>-0.1709</v>
      </c>
      <c r="AR17" s="38">
        <v>1.97</v>
      </c>
      <c r="AS17" s="38">
        <v>0.03</v>
      </c>
      <c r="AT17" s="38">
        <v>-11.54</v>
      </c>
      <c r="AU17" s="38">
        <v>-8.48</v>
      </c>
      <c r="AV17" s="50">
        <v>2.5000000000000001E-3</v>
      </c>
      <c r="AW17" s="50">
        <v>-5.1900000000000002E-2</v>
      </c>
      <c r="AX17" s="87">
        <v>0.06</v>
      </c>
      <c r="AY17" s="87">
        <v>0.06</v>
      </c>
      <c r="AZ17" s="49">
        <v>22.95</v>
      </c>
      <c r="BA17" s="49">
        <v>-19.68</v>
      </c>
      <c r="BB17" s="38">
        <v>0.04</v>
      </c>
      <c r="BC17" s="38">
        <v>0.03</v>
      </c>
      <c r="BD17" s="50">
        <v>-2E-3</v>
      </c>
      <c r="BE17" s="50">
        <v>-3.0000000000000001E-3</v>
      </c>
      <c r="BF17" s="50">
        <v>0.18490000000000001</v>
      </c>
      <c r="BG17" s="50">
        <v>0.16300000000000001</v>
      </c>
      <c r="BH17" s="50">
        <v>0.32769999999999999</v>
      </c>
      <c r="BI17" s="50">
        <v>0.34539999999999998</v>
      </c>
      <c r="BJ17" s="38">
        <v>-0.1</v>
      </c>
      <c r="BK17" s="38">
        <v>-0.1</v>
      </c>
      <c r="BL17" s="49">
        <v>0.03</v>
      </c>
      <c r="BM17" s="49">
        <v>0.06</v>
      </c>
      <c r="BN17" s="50">
        <v>-0.27700000000000002</v>
      </c>
      <c r="BO17" s="50">
        <v>-0.19370000000000001</v>
      </c>
      <c r="BP17" s="50">
        <v>8.8599999999999998E-2</v>
      </c>
      <c r="BQ17" s="50">
        <v>8.1500000000000003E-2</v>
      </c>
    </row>
    <row r="18" spans="1:69" x14ac:dyDescent="0.25">
      <c r="A18" s="16" t="s">
        <v>155</v>
      </c>
      <c r="B18" s="38">
        <v>0.53</v>
      </c>
      <c r="C18" s="25">
        <v>0.53</v>
      </c>
      <c r="D18" s="87">
        <v>0.12</v>
      </c>
      <c r="E18" s="87">
        <v>0.12</v>
      </c>
      <c r="F18" s="25">
        <v>6.39</v>
      </c>
      <c r="G18" s="25">
        <v>2.76</v>
      </c>
      <c r="H18" s="38">
        <v>0.6</v>
      </c>
      <c r="I18" s="38">
        <v>0.6</v>
      </c>
      <c r="J18" s="38">
        <v>0.16</v>
      </c>
      <c r="K18" s="38">
        <v>0.21</v>
      </c>
      <c r="L18" s="51">
        <v>0.23</v>
      </c>
      <c r="M18" s="38">
        <v>0.23</v>
      </c>
      <c r="N18" s="25">
        <v>0.71</v>
      </c>
      <c r="O18" s="38">
        <v>0.16</v>
      </c>
      <c r="P18" s="49">
        <v>0.42</v>
      </c>
      <c r="Q18" s="49">
        <v>0.42</v>
      </c>
      <c r="R18" s="38">
        <v>0.48</v>
      </c>
      <c r="S18" s="38">
        <v>0.48</v>
      </c>
      <c r="T18" s="38">
        <v>0.53</v>
      </c>
      <c r="U18" s="38">
        <v>0.53</v>
      </c>
      <c r="V18" s="38">
        <v>-0.98</v>
      </c>
      <c r="W18" s="38">
        <v>0.37</v>
      </c>
      <c r="X18" s="38">
        <v>0.18</v>
      </c>
      <c r="Y18" s="38">
        <v>0.18</v>
      </c>
      <c r="Z18" s="50">
        <v>0.24690000000000001</v>
      </c>
      <c r="AA18" s="50">
        <v>0.24690000000000001</v>
      </c>
      <c r="AB18" s="38">
        <v>0.23</v>
      </c>
      <c r="AC18" s="38">
        <v>0.23</v>
      </c>
      <c r="AD18" s="38">
        <v>0.13</v>
      </c>
      <c r="AE18" s="50">
        <v>0.13</v>
      </c>
      <c r="AF18" s="49"/>
      <c r="AG18" s="38">
        <v>0.27</v>
      </c>
      <c r="AH18" s="38">
        <v>0.28000000000000003</v>
      </c>
      <c r="AI18" s="38">
        <v>0.28000000000000003</v>
      </c>
      <c r="AJ18" s="38">
        <v>0.33</v>
      </c>
      <c r="AK18" s="38">
        <v>0.33</v>
      </c>
      <c r="AL18" s="38">
        <v>0.1</v>
      </c>
      <c r="AM18" s="38">
        <v>0.1</v>
      </c>
      <c r="AN18" s="49">
        <v>0.55000000000000004</v>
      </c>
      <c r="AO18" s="49">
        <v>0.55000000000000004</v>
      </c>
      <c r="AP18" s="38">
        <v>0.16</v>
      </c>
      <c r="AQ18" s="38">
        <v>0.16</v>
      </c>
      <c r="AR18" s="38">
        <v>0.38</v>
      </c>
      <c r="AS18" s="38">
        <v>0.38</v>
      </c>
      <c r="AT18" s="38">
        <v>0.25</v>
      </c>
      <c r="AU18" s="38"/>
      <c r="AV18" s="38">
        <v>0.5</v>
      </c>
      <c r="AW18" s="38">
        <v>0.5</v>
      </c>
      <c r="AX18" s="38">
        <v>0.3</v>
      </c>
      <c r="AY18" s="38">
        <v>0.3</v>
      </c>
      <c r="AZ18" s="38">
        <v>0.47</v>
      </c>
      <c r="BA18" s="38">
        <v>0.47</v>
      </c>
      <c r="BB18" s="38">
        <v>0.39</v>
      </c>
      <c r="BC18" s="38">
        <v>0.39</v>
      </c>
      <c r="BD18" s="38">
        <v>0.02</v>
      </c>
      <c r="BE18" s="38">
        <v>0.3</v>
      </c>
      <c r="BF18" s="38">
        <v>0.33</v>
      </c>
      <c r="BG18" s="38">
        <v>0.33</v>
      </c>
      <c r="BH18" s="50">
        <v>0.2248</v>
      </c>
      <c r="BI18" s="50">
        <v>0.2248</v>
      </c>
      <c r="BJ18" s="38">
        <v>0.16</v>
      </c>
      <c r="BK18" s="38">
        <v>0.16</v>
      </c>
      <c r="BL18" s="38">
        <v>0.21</v>
      </c>
      <c r="BM18" s="38">
        <v>0.21</v>
      </c>
      <c r="BN18" s="38"/>
      <c r="BO18" s="50">
        <v>0.16209999999999999</v>
      </c>
      <c r="BP18" s="38">
        <v>0.39</v>
      </c>
      <c r="BQ18" s="38">
        <v>0.39</v>
      </c>
    </row>
    <row r="19" spans="1:69" x14ac:dyDescent="0.25">
      <c r="A19" s="16" t="s">
        <v>156</v>
      </c>
      <c r="B19" s="49">
        <v>-1.08</v>
      </c>
      <c r="C19" s="49">
        <v>-1.21</v>
      </c>
      <c r="D19" s="87">
        <v>-0.59</v>
      </c>
      <c r="E19" s="49">
        <v>-0.53</v>
      </c>
      <c r="F19" s="50">
        <v>-0.42499999999999999</v>
      </c>
      <c r="G19" s="50">
        <v>-9.5999999999999992E-3</v>
      </c>
      <c r="H19" s="49">
        <v>-0.33</v>
      </c>
      <c r="I19" s="49">
        <v>-0.31</v>
      </c>
      <c r="J19" s="49">
        <v>0.13</v>
      </c>
      <c r="K19" s="49">
        <v>0.1</v>
      </c>
      <c r="L19" s="49">
        <v>-0.08</v>
      </c>
      <c r="M19" s="49">
        <v>-0.09</v>
      </c>
      <c r="N19" s="50">
        <v>1.0500000000000001E-2</v>
      </c>
      <c r="O19" s="50">
        <v>1.89E-2</v>
      </c>
      <c r="P19" s="49">
        <v>-0.16</v>
      </c>
      <c r="Q19" s="49">
        <v>-0.22</v>
      </c>
      <c r="R19" s="49">
        <v>-0.18</v>
      </c>
      <c r="S19" s="49">
        <v>-0.09</v>
      </c>
      <c r="T19" s="49">
        <v>-0.76</v>
      </c>
      <c r="U19" s="49">
        <v>-0.75</v>
      </c>
      <c r="V19" s="52">
        <v>0.74060000000000004</v>
      </c>
      <c r="W19" s="52">
        <v>0.90759999999999996</v>
      </c>
      <c r="X19" s="49">
        <v>0.04</v>
      </c>
      <c r="Y19" s="50">
        <v>0.04</v>
      </c>
      <c r="Z19" s="50">
        <v>-0.13789999999999999</v>
      </c>
      <c r="AA19" s="50">
        <v>-0.18310000000000001</v>
      </c>
      <c r="AB19" s="50">
        <v>8.3299999999999999E-2</v>
      </c>
      <c r="AC19" s="50">
        <v>8.0399999999999999E-2</v>
      </c>
      <c r="AD19" s="49">
        <v>0.13</v>
      </c>
      <c r="AE19" s="49">
        <v>0.13</v>
      </c>
      <c r="AF19" s="50">
        <v>3.7900000000000003E-2</v>
      </c>
      <c r="AG19" s="50">
        <v>2.4199999999999999E-2</v>
      </c>
      <c r="AH19" s="49">
        <v>-0.09</v>
      </c>
      <c r="AI19" s="49">
        <v>-0.06</v>
      </c>
      <c r="AJ19" s="49">
        <v>-0.14000000000000001</v>
      </c>
      <c r="AK19" s="49">
        <v>-0.16</v>
      </c>
      <c r="AL19" s="50">
        <v>4.2000000000000003E-2</v>
      </c>
      <c r="AM19" s="50">
        <v>8.0000000000000002E-3</v>
      </c>
      <c r="AN19" s="49">
        <v>-0.09</v>
      </c>
      <c r="AO19" s="49">
        <v>-0.23</v>
      </c>
      <c r="AP19" s="50">
        <v>-0.36969999999999997</v>
      </c>
      <c r="AQ19" s="50">
        <v>-0.19</v>
      </c>
      <c r="AR19" s="38">
        <v>8.89</v>
      </c>
      <c r="AS19" s="38">
        <v>6.57</v>
      </c>
      <c r="AT19" s="38">
        <v>-7.02</v>
      </c>
      <c r="AV19" s="50">
        <v>-0.52459999999999996</v>
      </c>
      <c r="AW19" s="50">
        <v>-0.53129999999999999</v>
      </c>
      <c r="AX19" s="87">
        <v>7.0000000000000007E-2</v>
      </c>
      <c r="AY19" s="87">
        <v>0.06</v>
      </c>
      <c r="AZ19" s="49">
        <v>11.48</v>
      </c>
      <c r="BA19" s="49">
        <v>-9.65</v>
      </c>
      <c r="BB19" s="38">
        <v>0.06</v>
      </c>
      <c r="BC19" s="38">
        <v>0.04</v>
      </c>
      <c r="BD19" s="50">
        <v>5.0000000000000001E-3</v>
      </c>
      <c r="BE19" s="50">
        <v>8.9999999999999993E-3</v>
      </c>
      <c r="BF19" s="50">
        <v>0.1401</v>
      </c>
      <c r="BG19" s="50">
        <v>0.13100000000000001</v>
      </c>
      <c r="BH19" s="50">
        <v>0.28470000000000001</v>
      </c>
      <c r="BI19" s="50">
        <v>0.29170000000000001</v>
      </c>
      <c r="BJ19" s="38">
        <v>-7.0000000000000007E-2</v>
      </c>
      <c r="BK19" s="38">
        <v>-7.0000000000000007E-2</v>
      </c>
      <c r="BL19" s="49">
        <v>0.04</v>
      </c>
      <c r="BM19" s="49">
        <v>7.0000000000000007E-2</v>
      </c>
      <c r="BN19" s="50">
        <v>-0.25190000000000001</v>
      </c>
      <c r="BO19" s="50">
        <v>-0.1726</v>
      </c>
      <c r="BP19" s="50">
        <v>8.72E-2</v>
      </c>
      <c r="BQ19" s="50">
        <v>8.0699999999999994E-2</v>
      </c>
    </row>
    <row r="20" spans="1:69" x14ac:dyDescent="0.25">
      <c r="A20" s="16" t="s">
        <v>157</v>
      </c>
      <c r="B20" s="49">
        <v>-0.39</v>
      </c>
      <c r="C20" s="49">
        <v>-0.74</v>
      </c>
      <c r="D20" s="87">
        <v>-0.26</v>
      </c>
      <c r="E20" s="49">
        <v>-0.51</v>
      </c>
      <c r="F20" s="50">
        <v>-0.1205</v>
      </c>
      <c r="G20" s="50">
        <v>-3.5999999999999999E-3</v>
      </c>
      <c r="H20" s="49">
        <v>-0.3</v>
      </c>
      <c r="I20" s="49">
        <v>-0.52</v>
      </c>
      <c r="J20" s="49">
        <v>0.05</v>
      </c>
      <c r="K20" s="49">
        <v>0.04</v>
      </c>
      <c r="L20" s="49">
        <v>-7.0000000000000007E-2</v>
      </c>
      <c r="M20" s="49">
        <v>-0.17</v>
      </c>
      <c r="N20" s="50">
        <v>5.8999999999999999E-3</v>
      </c>
      <c r="O20" s="50">
        <v>2.1499999999999998E-2</v>
      </c>
      <c r="P20" s="49">
        <v>-0.16</v>
      </c>
      <c r="Q20" s="49">
        <v>-0.46</v>
      </c>
      <c r="R20" s="49">
        <v>-7.0000000000000007E-2</v>
      </c>
      <c r="S20" s="49">
        <v>-0.06</v>
      </c>
      <c r="T20" s="49">
        <v>-0.15</v>
      </c>
      <c r="U20" s="49">
        <v>-0.27</v>
      </c>
      <c r="V20" s="52">
        <v>6.5299999999999997E-2</v>
      </c>
      <c r="W20" s="52">
        <v>6.5299999999999997E-2</v>
      </c>
      <c r="X20" s="49">
        <v>0.02</v>
      </c>
      <c r="Y20" s="50">
        <v>0.04</v>
      </c>
      <c r="Z20" s="50">
        <v>-6.6900000000000001E-2</v>
      </c>
      <c r="AA20" s="50">
        <v>-0.16739999999999999</v>
      </c>
      <c r="AB20" s="50">
        <v>8.4500000000000006E-2</v>
      </c>
      <c r="AC20" s="50">
        <v>8.4500000000000006E-2</v>
      </c>
      <c r="AD20" s="49">
        <v>0.05</v>
      </c>
      <c r="AE20" s="49">
        <v>0.11</v>
      </c>
      <c r="AF20" s="49"/>
      <c r="AG20" s="50">
        <v>2.53E-2</v>
      </c>
      <c r="AH20" s="49">
        <v>-0.04</v>
      </c>
      <c r="AI20" s="49">
        <v>-0.05</v>
      </c>
      <c r="AJ20" s="49">
        <v>-0.24</v>
      </c>
      <c r="AK20" s="49">
        <v>-0.12</v>
      </c>
      <c r="AL20" s="50">
        <v>2.3E-2</v>
      </c>
      <c r="AM20" s="50">
        <v>8.0000000000000002E-3</v>
      </c>
      <c r="AN20" s="49">
        <v>-7.0000000000000007E-2</v>
      </c>
      <c r="AO20" s="49">
        <v>-0.34</v>
      </c>
      <c r="AP20" s="38"/>
      <c r="AQ20" s="38"/>
      <c r="AR20" s="38">
        <v>12.89</v>
      </c>
      <c r="AS20" s="38">
        <v>10.01</v>
      </c>
      <c r="AT20" s="38">
        <v>-100</v>
      </c>
      <c r="AU20" s="38"/>
      <c r="AV20" s="50">
        <v>-8.0100000000000005E-2</v>
      </c>
      <c r="AW20" s="50">
        <v>-0.13589999999999999</v>
      </c>
      <c r="AX20" s="87">
        <v>0.04</v>
      </c>
      <c r="AY20" s="87">
        <v>0.08</v>
      </c>
      <c r="AZ20" s="49">
        <v>-0.41</v>
      </c>
      <c r="BA20" s="49">
        <v>-0.82</v>
      </c>
      <c r="BB20" s="38">
        <v>0.05</v>
      </c>
      <c r="BC20" s="38">
        <v>0.06</v>
      </c>
      <c r="BD20" s="50">
        <v>3.0000000000000001E-3</v>
      </c>
      <c r="BE20" s="50">
        <v>8.9999999999999993E-3</v>
      </c>
      <c r="BF20" s="50">
        <v>6.0499999999999998E-2</v>
      </c>
      <c r="BG20" s="50">
        <v>9.8100000000000007E-2</v>
      </c>
      <c r="BH20" s="50">
        <v>9.2399999999999996E-2</v>
      </c>
      <c r="BI20" s="50">
        <v>0.17480000000000001</v>
      </c>
      <c r="BJ20" s="38">
        <v>-0.06</v>
      </c>
      <c r="BK20" s="38">
        <v>-0.11</v>
      </c>
      <c r="BL20" s="49">
        <v>0.02</v>
      </c>
      <c r="BM20" s="49">
        <v>7.0000000000000007E-2</v>
      </c>
      <c r="BN20" s="38"/>
      <c r="BO20" s="50">
        <v>-0.60309999999999997</v>
      </c>
      <c r="BP20" s="50">
        <v>2.98E-2</v>
      </c>
      <c r="BQ20" s="50">
        <v>4.9200000000000001E-2</v>
      </c>
    </row>
    <row r="21" spans="1:69" ht="30" x14ac:dyDescent="0.25">
      <c r="A21" s="16" t="s">
        <v>158</v>
      </c>
      <c r="B21" s="38">
        <v>2.68</v>
      </c>
      <c r="C21" s="38">
        <v>2.68</v>
      </c>
      <c r="D21" s="38">
        <v>2.19</v>
      </c>
      <c r="E21" s="38">
        <v>2.19</v>
      </c>
      <c r="F21" s="25">
        <v>1.91</v>
      </c>
      <c r="G21" s="25">
        <v>1.91</v>
      </c>
      <c r="H21" s="38">
        <v>1.62</v>
      </c>
      <c r="I21" s="38">
        <v>1.62</v>
      </c>
      <c r="J21" s="49">
        <v>2.4300000000000002</v>
      </c>
      <c r="K21" s="49">
        <v>2.86</v>
      </c>
      <c r="L21" s="38">
        <v>1.52</v>
      </c>
      <c r="M21" s="38">
        <v>1.52</v>
      </c>
      <c r="N21" s="38">
        <v>1.56</v>
      </c>
      <c r="O21" s="38">
        <v>1.56</v>
      </c>
      <c r="P21" s="49">
        <v>1.67</v>
      </c>
      <c r="Q21" s="49">
        <v>1.67</v>
      </c>
      <c r="R21" s="38">
        <v>2.2999999999999998</v>
      </c>
      <c r="S21" s="38">
        <v>2.2999999999999998</v>
      </c>
      <c r="T21" s="38">
        <v>2.15</v>
      </c>
      <c r="U21" s="25">
        <v>2.15</v>
      </c>
      <c r="V21" s="38"/>
      <c r="W21" s="38">
        <v>12.1</v>
      </c>
      <c r="X21" s="38">
        <v>1.58</v>
      </c>
      <c r="Y21" s="38">
        <v>1.58</v>
      </c>
      <c r="Z21" s="38">
        <v>1.86</v>
      </c>
      <c r="AA21" s="38">
        <v>1.86</v>
      </c>
      <c r="AB21" s="38">
        <v>1.7</v>
      </c>
      <c r="AC21" s="38">
        <v>1.7</v>
      </c>
      <c r="AD21" s="38">
        <v>2.2599999999999998</v>
      </c>
      <c r="AE21" s="38">
        <v>2.2599999999999998</v>
      </c>
      <c r="AF21" s="38"/>
      <c r="AG21" s="38">
        <v>1.59</v>
      </c>
      <c r="AH21" s="38">
        <v>2.73</v>
      </c>
      <c r="AI21" s="38">
        <v>2.73</v>
      </c>
      <c r="AJ21" s="38">
        <v>2.63</v>
      </c>
      <c r="AK21" s="38">
        <v>2.63</v>
      </c>
      <c r="AL21" s="38">
        <v>1.66</v>
      </c>
      <c r="AM21" s="38">
        <v>1.66</v>
      </c>
      <c r="AN21" s="38">
        <v>1.63</v>
      </c>
      <c r="AO21" s="38">
        <v>1.63</v>
      </c>
      <c r="AP21" s="38"/>
      <c r="AQ21" s="38">
        <v>0.42</v>
      </c>
      <c r="AR21" s="38">
        <v>2.08</v>
      </c>
      <c r="AS21" s="38">
        <v>2.08</v>
      </c>
      <c r="AT21" s="38">
        <v>2.74</v>
      </c>
      <c r="AU21" s="38">
        <v>1.52</v>
      </c>
      <c r="AV21" s="38">
        <v>3.22</v>
      </c>
      <c r="AW21" s="38">
        <v>3.22</v>
      </c>
      <c r="AX21" s="38">
        <v>1.53</v>
      </c>
      <c r="AY21" s="38">
        <v>1.53</v>
      </c>
      <c r="AZ21" s="38">
        <v>0.63</v>
      </c>
      <c r="BA21" s="38">
        <v>0.63</v>
      </c>
      <c r="BB21" s="38">
        <v>1.52</v>
      </c>
      <c r="BC21" s="38">
        <v>1.52</v>
      </c>
      <c r="BD21" s="38">
        <v>1.88</v>
      </c>
      <c r="BE21" s="38">
        <v>1.88</v>
      </c>
      <c r="BF21" s="38">
        <v>2.12</v>
      </c>
      <c r="BG21" s="38">
        <v>2.12</v>
      </c>
      <c r="BH21" s="38">
        <v>3.37</v>
      </c>
      <c r="BI21" s="38">
        <v>3.37</v>
      </c>
      <c r="BJ21" s="38">
        <v>1.54</v>
      </c>
      <c r="BK21" s="38">
        <v>1.54</v>
      </c>
      <c r="BL21" s="38">
        <v>1.72</v>
      </c>
      <c r="BM21" s="38">
        <v>1.72</v>
      </c>
      <c r="BN21" s="38"/>
      <c r="BO21" s="38">
        <v>1.05</v>
      </c>
      <c r="BP21" s="38">
        <v>2.0099999999999998</v>
      </c>
      <c r="BQ21" s="38">
        <v>2.0099999999999998</v>
      </c>
    </row>
    <row r="22" spans="1:69" x14ac:dyDescent="0.25">
      <c r="A22" s="16" t="s">
        <v>159</v>
      </c>
      <c r="B22" s="38"/>
      <c r="C22" s="38"/>
      <c r="D22" s="38"/>
      <c r="E22" s="38"/>
      <c r="F22" s="50">
        <v>7.3000000000000001E-3</v>
      </c>
      <c r="G22" s="50">
        <v>7.3000000000000001E-3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50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50">
        <v>1.29E-2</v>
      </c>
      <c r="BQ22" s="50">
        <v>1.29E-2</v>
      </c>
    </row>
    <row r="23" spans="1:69" x14ac:dyDescent="0.25">
      <c r="A23" s="16" t="s">
        <v>160</v>
      </c>
      <c r="B23" s="38"/>
      <c r="C23" s="38"/>
      <c r="D23" s="38"/>
      <c r="E23" s="38"/>
      <c r="F23" s="50"/>
      <c r="G23" s="50"/>
      <c r="H23" s="38">
        <v>4.18</v>
      </c>
      <c r="I23" s="38">
        <v>4.18</v>
      </c>
      <c r="J23" s="38"/>
      <c r="K23" s="38"/>
      <c r="L23" s="52">
        <v>3.4099999999999998E-2</v>
      </c>
      <c r="M23" s="52">
        <v>3.4099999999999998E-2</v>
      </c>
      <c r="N23" s="50">
        <v>3.78E-2</v>
      </c>
      <c r="O23" s="50">
        <v>3.78E-2</v>
      </c>
      <c r="P23" s="38"/>
      <c r="Q23" s="38"/>
      <c r="R23" s="38"/>
      <c r="S23" s="38"/>
      <c r="T23" s="38"/>
      <c r="U23" s="50"/>
      <c r="V23" s="38"/>
      <c r="W23" s="38"/>
      <c r="X23" s="38">
        <v>0.53</v>
      </c>
      <c r="Y23" s="38">
        <v>0.53</v>
      </c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50">
        <v>6.08E-2</v>
      </c>
      <c r="AO23" s="50">
        <v>6.08E-2</v>
      </c>
      <c r="AP23" s="38"/>
      <c r="AQ23" s="50">
        <v>1.34E-2</v>
      </c>
      <c r="AR23" s="38">
        <v>0.7</v>
      </c>
      <c r="AS23" s="38">
        <v>0.7</v>
      </c>
      <c r="AT23" s="38"/>
      <c r="AU23" s="38">
        <v>2.2200000000000002</v>
      </c>
      <c r="AV23" s="38"/>
      <c r="AW23" s="38"/>
      <c r="AX23" s="52">
        <v>3.5000000000000001E-3</v>
      </c>
      <c r="AY23" s="52">
        <v>3.5000000000000001E-3</v>
      </c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50">
        <v>1.2699999999999999E-2</v>
      </c>
      <c r="BP23" s="38"/>
      <c r="BQ23" s="38"/>
    </row>
    <row r="24" spans="1:69" x14ac:dyDescent="0.25">
      <c r="A24" s="16" t="s">
        <v>161</v>
      </c>
      <c r="B24" s="38"/>
      <c r="C24" s="38"/>
      <c r="D24" s="38"/>
      <c r="E24" s="38"/>
      <c r="F24" s="50"/>
      <c r="G24" s="50"/>
      <c r="H24" s="38">
        <v>2.69</v>
      </c>
      <c r="I24" s="38">
        <v>2.69</v>
      </c>
      <c r="J24" s="38"/>
      <c r="K24" s="38"/>
      <c r="L24" s="52">
        <v>2.29E-2</v>
      </c>
      <c r="M24" s="52">
        <v>2.29E-2</v>
      </c>
      <c r="N24" s="50">
        <v>2.8199999999999999E-2</v>
      </c>
      <c r="O24" s="50">
        <v>2.8199999999999999E-2</v>
      </c>
      <c r="P24" s="38"/>
      <c r="Q24" s="38"/>
      <c r="R24" s="38"/>
      <c r="S24" s="38"/>
      <c r="T24" s="38"/>
      <c r="U24" s="50"/>
      <c r="V24" s="38"/>
      <c r="W24" s="38"/>
      <c r="X24" s="38">
        <v>0.44</v>
      </c>
      <c r="Y24" s="38">
        <v>0.44</v>
      </c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50">
        <v>2.3699999999999999E-2</v>
      </c>
      <c r="AO24" s="50">
        <v>2.3699999999999999E-2</v>
      </c>
      <c r="AP24" s="38"/>
      <c r="AQ24" s="50">
        <v>7.1999999999999998E-3</v>
      </c>
      <c r="AR24" s="38">
        <v>0.27</v>
      </c>
      <c r="AS24" s="38">
        <v>0.27</v>
      </c>
      <c r="AT24" s="38"/>
      <c r="AU24" s="38">
        <v>1.55</v>
      </c>
      <c r="AV24" s="38"/>
      <c r="AW24" s="38"/>
      <c r="AX24" s="52">
        <v>1.1000000000000001E-3</v>
      </c>
      <c r="AY24" s="52">
        <v>1.1000000000000001E-3</v>
      </c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50">
        <v>7.4999999999999997E-3</v>
      </c>
      <c r="BP24" s="38"/>
      <c r="BQ24" s="38"/>
    </row>
  </sheetData>
  <mergeCells count="34">
    <mergeCell ref="BJ2:BK2"/>
    <mergeCell ref="BL2:BM2"/>
    <mergeCell ref="BN2:BO2"/>
    <mergeCell ref="BP2:BQ2"/>
    <mergeCell ref="BH2:BI2"/>
    <mergeCell ref="BB2:BC2"/>
    <mergeCell ref="BD2:BE2"/>
    <mergeCell ref="AL2:AM2"/>
    <mergeCell ref="AN2:AO2"/>
    <mergeCell ref="AP2:AQ2"/>
    <mergeCell ref="AR2:AS2"/>
    <mergeCell ref="AT2:AU2"/>
    <mergeCell ref="BF2:BG2"/>
    <mergeCell ref="AJ2:AK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V2:AW2"/>
    <mergeCell ref="AX2:AY2"/>
    <mergeCell ref="AZ2:BA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8" customWidth="1"/>
    <col min="2" max="22" width="16" style="8" customWidth="1"/>
    <col min="23" max="23" width="16" style="55" customWidth="1"/>
    <col min="24" max="35" width="16" style="8" customWidth="1"/>
    <col min="36" max="16384" width="9.140625" style="8"/>
  </cols>
  <sheetData>
    <row r="1" spans="1:35" ht="18.75" x14ac:dyDescent="0.3">
      <c r="A1" s="10" t="s">
        <v>306</v>
      </c>
    </row>
    <row r="2" spans="1:35" x14ac:dyDescent="0.25">
      <c r="A2" s="8" t="s">
        <v>114</v>
      </c>
    </row>
    <row r="3" spans="1:35" x14ac:dyDescent="0.25">
      <c r="A3" s="1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14</v>
      </c>
      <c r="P3" s="40" t="s">
        <v>15</v>
      </c>
      <c r="Q3" s="40" t="s">
        <v>16</v>
      </c>
      <c r="R3" s="40" t="s">
        <v>17</v>
      </c>
      <c r="S3" s="40" t="s">
        <v>18</v>
      </c>
      <c r="T3" s="40" t="s">
        <v>19</v>
      </c>
      <c r="U3" s="40" t="s">
        <v>20</v>
      </c>
      <c r="V3" s="40" t="s">
        <v>21</v>
      </c>
      <c r="W3" s="73" t="s">
        <v>22</v>
      </c>
      <c r="X3" s="40" t="s">
        <v>23</v>
      </c>
      <c r="Y3" s="40" t="s">
        <v>24</v>
      </c>
      <c r="Z3" s="40" t="s">
        <v>25</v>
      </c>
      <c r="AA3" s="40" t="s">
        <v>26</v>
      </c>
      <c r="AB3" s="40" t="s">
        <v>27</v>
      </c>
      <c r="AC3" s="40" t="s">
        <v>28</v>
      </c>
      <c r="AD3" s="40" t="s">
        <v>29</v>
      </c>
      <c r="AE3" s="40" t="s">
        <v>30</v>
      </c>
      <c r="AF3" s="40" t="s">
        <v>31</v>
      </c>
      <c r="AG3" s="40" t="s">
        <v>32</v>
      </c>
      <c r="AH3" s="41" t="s">
        <v>33</v>
      </c>
      <c r="AI3" s="40" t="s">
        <v>34</v>
      </c>
    </row>
    <row r="4" spans="1:35" ht="15" customHeight="1" x14ac:dyDescent="0.25">
      <c r="A4" s="3" t="s">
        <v>115</v>
      </c>
      <c r="B4" s="11">
        <v>20506</v>
      </c>
      <c r="C4" s="11">
        <v>57008.52</v>
      </c>
      <c r="D4" s="11">
        <v>1687684</v>
      </c>
      <c r="E4" s="11">
        <v>143547</v>
      </c>
      <c r="F4" s="11">
        <v>1566457</v>
      </c>
      <c r="G4" s="11">
        <v>469182</v>
      </c>
      <c r="H4" s="11">
        <v>818746.75</v>
      </c>
      <c r="I4" s="25">
        <v>35516.22</v>
      </c>
      <c r="J4" s="11">
        <v>28006</v>
      </c>
      <c r="K4" s="11">
        <v>5765</v>
      </c>
      <c r="L4" s="11">
        <v>710103.33</v>
      </c>
      <c r="M4" s="11">
        <v>383071</v>
      </c>
      <c r="N4" s="11">
        <v>177819</v>
      </c>
      <c r="O4" s="11">
        <v>1066712</v>
      </c>
      <c r="P4" s="11">
        <v>2837236</v>
      </c>
      <c r="Q4" s="11">
        <v>732321.37</v>
      </c>
      <c r="R4" s="11">
        <v>40473</v>
      </c>
      <c r="S4" s="11">
        <v>179920</v>
      </c>
      <c r="T4" s="11">
        <v>161767</v>
      </c>
      <c r="U4" s="11">
        <v>61361</v>
      </c>
      <c r="V4" s="11">
        <v>3115764</v>
      </c>
      <c r="W4" s="11">
        <v>3796792.51</v>
      </c>
      <c r="X4" s="38">
        <v>2388204</v>
      </c>
      <c r="Y4" s="11">
        <v>27976</v>
      </c>
      <c r="Z4" s="11">
        <v>970574</v>
      </c>
      <c r="AA4" s="11">
        <v>648</v>
      </c>
      <c r="AB4" s="11">
        <v>116892</v>
      </c>
      <c r="AC4" s="11">
        <v>506624</v>
      </c>
      <c r="AD4" s="11">
        <v>646329</v>
      </c>
      <c r="AE4" s="11">
        <v>780029</v>
      </c>
      <c r="AF4" s="11">
        <v>291530.81</v>
      </c>
      <c r="AG4" s="11">
        <v>1118615</v>
      </c>
      <c r="AH4" s="11">
        <v>3333633.52</v>
      </c>
      <c r="AI4" s="11">
        <v>274381</v>
      </c>
    </row>
    <row r="5" spans="1:35" ht="15" customHeight="1" x14ac:dyDescent="0.25">
      <c r="A5" s="3" t="s">
        <v>116</v>
      </c>
      <c r="B5" s="11">
        <v>10984</v>
      </c>
      <c r="C5" s="11">
        <v>34552.11</v>
      </c>
      <c r="D5" s="11">
        <v>359485</v>
      </c>
      <c r="E5" s="11"/>
      <c r="F5" s="11">
        <v>1213869</v>
      </c>
      <c r="G5" s="11">
        <v>316233</v>
      </c>
      <c r="H5" s="11">
        <v>571230.38</v>
      </c>
      <c r="I5" s="25"/>
      <c r="J5" s="11">
        <v>14756</v>
      </c>
      <c r="K5" s="11">
        <v>11172</v>
      </c>
      <c r="L5" s="11">
        <v>665483.81999999995</v>
      </c>
      <c r="M5" s="11"/>
      <c r="N5" s="11"/>
      <c r="O5" s="11"/>
      <c r="P5" s="11"/>
      <c r="Q5" s="11"/>
      <c r="R5" s="11"/>
      <c r="S5" s="11">
        <v>142665</v>
      </c>
      <c r="T5" s="11"/>
      <c r="U5" s="11">
        <v>45560</v>
      </c>
      <c r="V5" s="11"/>
      <c r="W5" s="11">
        <v>3633306.27</v>
      </c>
      <c r="X5" s="38">
        <v>1885806</v>
      </c>
      <c r="Y5" s="11"/>
      <c r="Z5" s="11">
        <v>753760</v>
      </c>
      <c r="AA5" s="11">
        <v>457</v>
      </c>
      <c r="AB5" s="11">
        <v>87138</v>
      </c>
      <c r="AD5" s="11"/>
      <c r="AE5" s="11">
        <v>734426</v>
      </c>
      <c r="AF5" s="11"/>
      <c r="AG5" s="11">
        <v>742887</v>
      </c>
      <c r="AH5" s="11">
        <v>2777828.21</v>
      </c>
      <c r="AI5" s="11">
        <v>211677</v>
      </c>
    </row>
    <row r="6" spans="1:35" ht="15" customHeight="1" x14ac:dyDescent="0.25">
      <c r="A6" s="3" t="s">
        <v>118</v>
      </c>
      <c r="B6" s="11"/>
      <c r="C6" s="11"/>
      <c r="D6" s="11"/>
      <c r="E6" s="11">
        <v>27949</v>
      </c>
      <c r="F6" s="11"/>
      <c r="G6" s="11"/>
      <c r="H6" s="11"/>
      <c r="I6" s="25">
        <v>29506.080000000002</v>
      </c>
      <c r="J6" s="11"/>
      <c r="K6" s="11"/>
      <c r="L6" s="11"/>
      <c r="M6" s="11">
        <v>71885</v>
      </c>
      <c r="N6" s="11">
        <v>124368</v>
      </c>
      <c r="O6" s="11">
        <v>709120</v>
      </c>
      <c r="P6" s="11">
        <v>2284493</v>
      </c>
      <c r="Q6" s="11">
        <v>710786.44</v>
      </c>
      <c r="R6" s="11">
        <v>37904</v>
      </c>
      <c r="S6" s="11"/>
      <c r="T6" s="11">
        <v>124122</v>
      </c>
      <c r="U6" s="11"/>
      <c r="V6" s="11">
        <v>2511331</v>
      </c>
      <c r="W6" s="11"/>
      <c r="X6" s="11"/>
      <c r="Y6" s="11">
        <v>20286</v>
      </c>
      <c r="Z6" s="11"/>
      <c r="AA6" s="11"/>
      <c r="AB6" s="11"/>
      <c r="AC6" s="11">
        <v>433237</v>
      </c>
      <c r="AD6" s="11">
        <v>602269</v>
      </c>
      <c r="AE6" s="11"/>
      <c r="AF6" s="11">
        <v>29906.81</v>
      </c>
      <c r="AH6" s="11"/>
      <c r="AI6" s="11"/>
    </row>
    <row r="7" spans="1:35" ht="15" customHeight="1" x14ac:dyDescent="0.25">
      <c r="A7" s="3" t="s">
        <v>119</v>
      </c>
      <c r="B7" s="11"/>
      <c r="C7" s="11"/>
      <c r="D7" s="11">
        <v>88808</v>
      </c>
      <c r="E7" s="11">
        <v>96524</v>
      </c>
      <c r="F7" s="11"/>
      <c r="G7" s="11"/>
      <c r="H7" s="11"/>
      <c r="I7" s="25">
        <v>5477.57</v>
      </c>
      <c r="J7" s="11"/>
      <c r="K7" s="11"/>
      <c r="L7" s="11"/>
      <c r="M7" s="11">
        <v>307862</v>
      </c>
      <c r="N7" s="11">
        <v>612</v>
      </c>
      <c r="O7" s="11"/>
      <c r="P7" s="11">
        <v>1826</v>
      </c>
      <c r="Q7" s="11"/>
      <c r="R7" s="11"/>
      <c r="S7" s="11"/>
      <c r="T7" s="11">
        <v>37645</v>
      </c>
      <c r="U7" s="11"/>
      <c r="V7" s="11">
        <v>504136</v>
      </c>
      <c r="W7" s="11"/>
      <c r="X7" s="11"/>
      <c r="Y7" s="11">
        <v>6529</v>
      </c>
      <c r="Z7" s="11"/>
      <c r="AA7" s="11"/>
      <c r="AB7" s="11"/>
      <c r="AC7" s="11"/>
      <c r="AD7" s="11"/>
      <c r="AE7" s="11"/>
      <c r="AF7" s="11">
        <v>279216.28999999998</v>
      </c>
      <c r="AG7" s="11"/>
      <c r="AH7" s="11"/>
      <c r="AI7" s="11">
        <v>127</v>
      </c>
    </row>
    <row r="8" spans="1:35" ht="30" customHeight="1" x14ac:dyDescent="0.25">
      <c r="A8" s="3" t="s">
        <v>117</v>
      </c>
      <c r="B8" s="11">
        <v>9522</v>
      </c>
      <c r="C8" s="11">
        <v>19259.990000000002</v>
      </c>
      <c r="D8" s="11">
        <v>1305653</v>
      </c>
      <c r="E8" s="11">
        <v>9997</v>
      </c>
      <c r="F8" s="11">
        <v>319701</v>
      </c>
      <c r="G8" s="11">
        <v>140835</v>
      </c>
      <c r="H8" s="11">
        <v>223291.55</v>
      </c>
      <c r="I8" s="11"/>
      <c r="J8" s="11">
        <v>6208</v>
      </c>
      <c r="K8" s="11">
        <v>2902</v>
      </c>
      <c r="L8" s="11">
        <v>35972.239999999998</v>
      </c>
      <c r="M8" s="11"/>
      <c r="N8" s="11">
        <v>74775</v>
      </c>
      <c r="O8" s="11">
        <v>357591</v>
      </c>
      <c r="P8" s="11">
        <v>569286</v>
      </c>
      <c r="Q8" s="11">
        <v>21534.94</v>
      </c>
      <c r="R8" s="11">
        <v>16</v>
      </c>
      <c r="S8" s="11">
        <v>37219</v>
      </c>
      <c r="T8" s="11"/>
      <c r="U8" s="11">
        <v>13216</v>
      </c>
      <c r="V8" s="11"/>
      <c r="W8" s="11">
        <v>414608.09</v>
      </c>
      <c r="X8">
        <v>63346</v>
      </c>
      <c r="Y8" s="11"/>
      <c r="Z8" s="11">
        <v>216814</v>
      </c>
      <c r="AA8" s="11">
        <v>192</v>
      </c>
      <c r="AB8" s="11">
        <v>9509</v>
      </c>
      <c r="AC8" s="11">
        <v>79211</v>
      </c>
      <c r="AD8" s="11"/>
      <c r="AE8" s="11">
        <v>30399</v>
      </c>
      <c r="AF8" s="11"/>
      <c r="AG8" s="11">
        <v>348258</v>
      </c>
      <c r="AH8" s="11">
        <v>418488.73</v>
      </c>
      <c r="AI8" s="11">
        <v>54816</v>
      </c>
    </row>
    <row r="9" spans="1:35" s="46" customFormat="1" ht="15" customHeight="1" x14ac:dyDescent="0.25">
      <c r="A9" s="20" t="s">
        <v>120</v>
      </c>
      <c r="B9" s="45"/>
      <c r="C9" s="45">
        <v>3196.42</v>
      </c>
      <c r="D9" s="45">
        <v>-66262</v>
      </c>
      <c r="E9" s="45">
        <v>9077</v>
      </c>
      <c r="F9" s="45">
        <v>32887</v>
      </c>
      <c r="G9" s="45">
        <v>12113</v>
      </c>
      <c r="H9" s="45">
        <v>24224.82</v>
      </c>
      <c r="I9" s="27">
        <v>532.55999999999995</v>
      </c>
      <c r="J9" s="45">
        <v>7042</v>
      </c>
      <c r="K9" s="45">
        <v>-8309</v>
      </c>
      <c r="L9" s="45">
        <v>8647.27</v>
      </c>
      <c r="M9" s="45">
        <v>3324</v>
      </c>
      <c r="N9" s="45">
        <v>-21936</v>
      </c>
      <c r="O9" s="45"/>
      <c r="P9" s="45">
        <v>-18369</v>
      </c>
      <c r="Q9" s="45"/>
      <c r="R9" s="45">
        <v>2552</v>
      </c>
      <c r="S9" s="45">
        <v>36</v>
      </c>
      <c r="T9" s="45"/>
      <c r="U9" s="45">
        <v>2585</v>
      </c>
      <c r="V9" s="45">
        <v>100297</v>
      </c>
      <c r="W9" s="45">
        <v>-251121.85</v>
      </c>
      <c r="X9" s="45">
        <v>439051</v>
      </c>
      <c r="Y9" s="45">
        <v>1161</v>
      </c>
      <c r="Z9" s="45"/>
      <c r="AA9" s="45"/>
      <c r="AB9" s="45">
        <v>20245</v>
      </c>
      <c r="AC9" s="45">
        <v>-5824</v>
      </c>
      <c r="AD9" s="45">
        <v>44060</v>
      </c>
      <c r="AE9" s="45">
        <v>15203</v>
      </c>
      <c r="AF9" s="45">
        <v>-17592.29</v>
      </c>
      <c r="AG9" s="45">
        <v>27470</v>
      </c>
      <c r="AH9" s="45">
        <v>137316.57999999999</v>
      </c>
      <c r="AI9" s="45">
        <v>7760</v>
      </c>
    </row>
    <row r="10" spans="1:35" ht="15" customHeight="1" x14ac:dyDescent="0.25">
      <c r="A10" s="3" t="s">
        <v>121</v>
      </c>
      <c r="B10" s="11">
        <v>18138</v>
      </c>
      <c r="C10" s="11">
        <v>21058.61</v>
      </c>
      <c r="D10" s="11">
        <v>395767</v>
      </c>
      <c r="E10" s="11">
        <v>69574</v>
      </c>
      <c r="F10" s="11">
        <v>562832</v>
      </c>
      <c r="G10" s="11">
        <v>59017</v>
      </c>
      <c r="H10" s="11">
        <v>157200.9</v>
      </c>
      <c r="I10" s="25">
        <v>22617.78</v>
      </c>
      <c r="J10" s="11">
        <v>4839</v>
      </c>
      <c r="K10" s="11">
        <v>20502</v>
      </c>
      <c r="L10" s="11">
        <v>471991.34</v>
      </c>
      <c r="M10" s="11">
        <v>84957</v>
      </c>
      <c r="N10" s="11">
        <v>76532</v>
      </c>
      <c r="O10" s="11">
        <v>301161</v>
      </c>
      <c r="P10" s="11">
        <v>597055</v>
      </c>
      <c r="Q10" s="11">
        <v>406884.8</v>
      </c>
      <c r="R10" s="11">
        <v>21722</v>
      </c>
      <c r="S10" s="11">
        <v>78776</v>
      </c>
      <c r="T10" s="11">
        <v>41254</v>
      </c>
      <c r="U10" s="11">
        <v>47108</v>
      </c>
      <c r="V10" s="11">
        <v>57718</v>
      </c>
      <c r="W10" s="11">
        <v>1922402.46</v>
      </c>
      <c r="X10" s="11">
        <v>357490</v>
      </c>
      <c r="Y10" s="11">
        <v>16450</v>
      </c>
      <c r="Z10" s="11">
        <v>229680</v>
      </c>
      <c r="AA10" s="11">
        <v>4521</v>
      </c>
      <c r="AB10" s="11">
        <v>51891</v>
      </c>
      <c r="AC10" s="11">
        <v>125336</v>
      </c>
      <c r="AD10" s="11">
        <v>175603</v>
      </c>
      <c r="AE10" s="11">
        <v>173564</v>
      </c>
      <c r="AF10" s="11">
        <v>183662.03</v>
      </c>
      <c r="AG10" s="11">
        <v>285421</v>
      </c>
      <c r="AH10" s="11">
        <v>385279.38</v>
      </c>
      <c r="AI10" s="11">
        <v>88552</v>
      </c>
    </row>
    <row r="11" spans="1:35" ht="30" customHeight="1" x14ac:dyDescent="0.25">
      <c r="A11" s="3" t="s">
        <v>122</v>
      </c>
      <c r="B11" s="11">
        <v>4761</v>
      </c>
      <c r="C11" s="11"/>
      <c r="D11" s="11"/>
      <c r="E11" s="11">
        <v>16191</v>
      </c>
      <c r="F11" s="11">
        <v>74468</v>
      </c>
      <c r="G11" s="11">
        <v>3011</v>
      </c>
      <c r="H11" s="11">
        <v>43006.52</v>
      </c>
      <c r="I11" s="25">
        <v>7549.57</v>
      </c>
      <c r="J11" s="11">
        <v>373</v>
      </c>
      <c r="K11" s="11">
        <v>1438</v>
      </c>
      <c r="L11" s="11">
        <v>24997.66</v>
      </c>
      <c r="M11" s="11">
        <v>19925</v>
      </c>
      <c r="N11" s="11"/>
      <c r="O11" s="11">
        <v>67383</v>
      </c>
      <c r="P11" s="11">
        <v>21158</v>
      </c>
      <c r="Q11" s="11">
        <v>192765.93</v>
      </c>
      <c r="R11" s="11">
        <v>7064</v>
      </c>
      <c r="S11" s="11">
        <v>13720</v>
      </c>
      <c r="T11" s="11">
        <v>10182</v>
      </c>
      <c r="U11" s="11">
        <v>22479</v>
      </c>
      <c r="V11" s="11"/>
      <c r="W11" s="11">
        <v>301730.3</v>
      </c>
      <c r="X11">
        <v>215038</v>
      </c>
      <c r="Y11" s="11">
        <v>1529</v>
      </c>
      <c r="Z11" s="11">
        <v>50912</v>
      </c>
      <c r="AA11" s="11">
        <v>1374</v>
      </c>
      <c r="AB11" s="11">
        <v>21726</v>
      </c>
      <c r="AC11" s="11"/>
      <c r="AD11" s="11">
        <v>28575</v>
      </c>
      <c r="AE11" s="11">
        <v>17302</v>
      </c>
      <c r="AF11" s="11">
        <v>23841.05</v>
      </c>
      <c r="AG11" s="11">
        <v>70234</v>
      </c>
      <c r="AH11" s="11">
        <v>48366.15</v>
      </c>
      <c r="AI11" s="11">
        <v>7737</v>
      </c>
    </row>
    <row r="12" spans="1:35" s="46" customFormat="1" x14ac:dyDescent="0.25">
      <c r="A12" s="20" t="s">
        <v>123</v>
      </c>
      <c r="B12" s="45">
        <v>13377</v>
      </c>
      <c r="C12" s="45">
        <v>21058.61</v>
      </c>
      <c r="D12" s="45">
        <v>395767</v>
      </c>
      <c r="E12" s="45">
        <v>53383</v>
      </c>
      <c r="F12" s="45">
        <v>488364</v>
      </c>
      <c r="G12" s="45">
        <v>56006</v>
      </c>
      <c r="H12" s="45">
        <v>114194.38</v>
      </c>
      <c r="I12" s="27">
        <v>15068.21</v>
      </c>
      <c r="J12" s="45">
        <v>4466</v>
      </c>
      <c r="K12" s="45">
        <v>19064</v>
      </c>
      <c r="L12" s="45">
        <v>446993.68</v>
      </c>
      <c r="M12" s="45">
        <v>65032</v>
      </c>
      <c r="N12" s="45">
        <v>76532</v>
      </c>
      <c r="O12" s="45">
        <v>233778</v>
      </c>
      <c r="P12" s="45">
        <v>575897</v>
      </c>
      <c r="Q12" s="45">
        <v>214118.87</v>
      </c>
      <c r="R12" s="45">
        <v>14658</v>
      </c>
      <c r="S12" s="45">
        <v>65056</v>
      </c>
      <c r="T12" s="45">
        <v>31072</v>
      </c>
      <c r="U12" s="45">
        <v>24629</v>
      </c>
      <c r="V12" s="45">
        <v>57718</v>
      </c>
      <c r="W12" s="45">
        <v>1620672.15</v>
      </c>
      <c r="X12" s="45">
        <v>142452</v>
      </c>
      <c r="Y12" s="45">
        <v>14921</v>
      </c>
      <c r="Z12" s="45">
        <v>178768</v>
      </c>
      <c r="AA12" s="45">
        <v>3147</v>
      </c>
      <c r="AB12" s="45">
        <v>30165</v>
      </c>
      <c r="AC12" s="45">
        <v>125336</v>
      </c>
      <c r="AD12" s="45">
        <v>147029</v>
      </c>
      <c r="AE12" s="45">
        <v>156262</v>
      </c>
      <c r="AF12" s="45">
        <v>159820.98000000001</v>
      </c>
      <c r="AG12" s="45">
        <v>215187</v>
      </c>
      <c r="AH12" s="45">
        <v>336913.23</v>
      </c>
      <c r="AI12" s="45">
        <v>80815</v>
      </c>
    </row>
    <row r="13" spans="1:35" s="9" customFormat="1" ht="15" customHeight="1" x14ac:dyDescent="0.25">
      <c r="A13" s="4" t="s">
        <v>124</v>
      </c>
      <c r="B13" s="12">
        <v>13377</v>
      </c>
      <c r="C13" s="12">
        <v>24255.03</v>
      </c>
      <c r="D13" s="12">
        <v>329505</v>
      </c>
      <c r="E13" s="12">
        <v>62460</v>
      </c>
      <c r="F13" s="12">
        <v>521251</v>
      </c>
      <c r="G13" s="12">
        <v>68119</v>
      </c>
      <c r="H13" s="12">
        <v>138419.20000000001</v>
      </c>
      <c r="I13" s="43">
        <v>15600.78</v>
      </c>
      <c r="J13" s="12">
        <v>11508</v>
      </c>
      <c r="K13" s="12">
        <v>10755</v>
      </c>
      <c r="L13" s="12">
        <v>455640.95</v>
      </c>
      <c r="M13" s="12">
        <v>68356</v>
      </c>
      <c r="N13" s="12">
        <v>54596</v>
      </c>
      <c r="O13" s="12">
        <v>233778</v>
      </c>
      <c r="P13" s="12">
        <v>557528</v>
      </c>
      <c r="Q13" s="12">
        <v>214118.87</v>
      </c>
      <c r="R13" s="12">
        <v>17210</v>
      </c>
      <c r="S13" s="12">
        <v>65092</v>
      </c>
      <c r="T13" s="12">
        <v>31072</v>
      </c>
      <c r="U13" s="12">
        <v>27214</v>
      </c>
      <c r="V13" s="12">
        <v>158015</v>
      </c>
      <c r="W13" s="12">
        <v>1369550.3</v>
      </c>
      <c r="X13" s="12">
        <v>581503</v>
      </c>
      <c r="Y13" s="12">
        <v>16081</v>
      </c>
      <c r="Z13" s="12">
        <v>178768</v>
      </c>
      <c r="AA13" s="12">
        <v>3147</v>
      </c>
      <c r="AB13" s="12">
        <v>50410</v>
      </c>
      <c r="AC13" s="12">
        <v>119512</v>
      </c>
      <c r="AD13" s="12">
        <v>191089</v>
      </c>
      <c r="AE13" s="12">
        <v>171465</v>
      </c>
      <c r="AF13" s="12">
        <v>142228.69</v>
      </c>
      <c r="AG13" s="12">
        <v>242657</v>
      </c>
      <c r="AH13" s="12">
        <v>474229.81</v>
      </c>
      <c r="AI13" s="12">
        <v>88576</v>
      </c>
    </row>
    <row r="14" spans="1:35" s="9" customFormat="1" ht="14.25" customHeight="1" x14ac:dyDescent="0.25">
      <c r="A14" s="4" t="s">
        <v>125</v>
      </c>
      <c r="B14" s="12">
        <v>5000</v>
      </c>
      <c r="C14" s="12">
        <v>11079.48</v>
      </c>
      <c r="D14" s="12">
        <v>172832</v>
      </c>
      <c r="E14" s="12">
        <v>38610</v>
      </c>
      <c r="F14" s="12">
        <v>214068</v>
      </c>
      <c r="G14" s="12">
        <v>44947</v>
      </c>
      <c r="H14" s="12">
        <v>88816.13</v>
      </c>
      <c r="I14" s="43">
        <v>9343.93</v>
      </c>
      <c r="J14" s="12">
        <v>5000</v>
      </c>
      <c r="K14" s="12">
        <v>5000</v>
      </c>
      <c r="L14" s="12">
        <v>37665.18</v>
      </c>
      <c r="M14" s="12">
        <v>43273</v>
      </c>
      <c r="N14" s="12">
        <v>29418</v>
      </c>
      <c r="O14" s="12">
        <v>137452</v>
      </c>
      <c r="P14" s="12">
        <v>246891</v>
      </c>
      <c r="Q14" s="12">
        <v>134675.54</v>
      </c>
      <c r="R14" s="12">
        <v>6315</v>
      </c>
      <c r="S14" s="12">
        <v>24733</v>
      </c>
      <c r="T14" s="12">
        <v>18763</v>
      </c>
      <c r="U14" s="12">
        <v>16668</v>
      </c>
      <c r="V14" s="12">
        <v>380414</v>
      </c>
      <c r="W14" s="12">
        <v>657694.97</v>
      </c>
      <c r="X14" s="12">
        <v>381507</v>
      </c>
      <c r="Y14" s="12">
        <v>5000</v>
      </c>
      <c r="Z14" s="12">
        <v>116980</v>
      </c>
      <c r="AA14" s="12">
        <v>5000</v>
      </c>
      <c r="AB14" s="12">
        <v>33119</v>
      </c>
      <c r="AC14" s="12">
        <v>63458</v>
      </c>
      <c r="AD14" s="12">
        <v>90207</v>
      </c>
      <c r="AE14" s="12">
        <v>50863</v>
      </c>
      <c r="AF14" s="12">
        <v>92439.72</v>
      </c>
      <c r="AG14" s="12">
        <v>141065</v>
      </c>
      <c r="AH14" s="12">
        <v>453579.96</v>
      </c>
      <c r="AI14" s="12">
        <v>44087</v>
      </c>
    </row>
    <row r="15" spans="1:35" s="44" customFormat="1" ht="14.25" customHeight="1" x14ac:dyDescent="0.25">
      <c r="A15" s="21" t="s">
        <v>126</v>
      </c>
      <c r="B15" s="43">
        <v>2.68</v>
      </c>
      <c r="C15" s="43">
        <v>2.19</v>
      </c>
      <c r="D15" s="43">
        <v>1.91</v>
      </c>
      <c r="E15" s="43">
        <v>1.62</v>
      </c>
      <c r="F15" s="102">
        <v>2.4300000000000002</v>
      </c>
      <c r="G15" s="43">
        <v>1.52</v>
      </c>
      <c r="H15" s="43">
        <v>1.5580000000000001</v>
      </c>
      <c r="I15" s="43">
        <v>1.6696</v>
      </c>
      <c r="J15" s="43">
        <v>2.2999999999999998</v>
      </c>
      <c r="K15" s="43">
        <v>2.15</v>
      </c>
      <c r="L15" s="43">
        <v>12.1</v>
      </c>
      <c r="M15" s="43">
        <v>1.58</v>
      </c>
      <c r="N15" s="43">
        <v>1.86</v>
      </c>
      <c r="O15" s="43">
        <v>1.7</v>
      </c>
      <c r="P15" s="43">
        <v>2.2599999999999998</v>
      </c>
      <c r="Q15" s="43">
        <v>1.59</v>
      </c>
      <c r="R15" s="43">
        <v>2.73</v>
      </c>
      <c r="S15" s="43">
        <v>2.63</v>
      </c>
      <c r="T15" s="43">
        <v>1.66</v>
      </c>
      <c r="U15" s="43">
        <v>1.63</v>
      </c>
      <c r="V15" s="43">
        <v>0.42</v>
      </c>
      <c r="W15" s="43">
        <v>2.08</v>
      </c>
      <c r="X15" s="43">
        <v>1.52</v>
      </c>
      <c r="Y15" s="43">
        <v>3.22</v>
      </c>
      <c r="Z15" s="43">
        <v>1.53</v>
      </c>
      <c r="AA15" s="43">
        <v>0.63</v>
      </c>
      <c r="AB15" s="43">
        <v>1.52</v>
      </c>
      <c r="AC15" s="43">
        <v>1.88</v>
      </c>
      <c r="AD15" s="43">
        <v>2.12</v>
      </c>
      <c r="AE15" s="43">
        <v>3.37</v>
      </c>
      <c r="AF15" s="43">
        <v>1.54</v>
      </c>
      <c r="AG15" s="43">
        <v>1.72</v>
      </c>
      <c r="AH15" s="43">
        <v>1.05</v>
      </c>
      <c r="AI15" s="43">
        <v>2.0099999999999998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46" width="16" style="8" customWidth="1"/>
    <col min="47" max="47" width="16" style="55" customWidth="1"/>
    <col min="48" max="48" width="16" style="8" customWidth="1"/>
    <col min="49" max="49" width="16" style="55" customWidth="1"/>
    <col min="50" max="62" width="16" style="8" customWidth="1"/>
    <col min="63" max="63" width="16" style="55" customWidth="1"/>
    <col min="64" max="64" width="16" style="8" customWidth="1"/>
    <col min="65" max="65" width="16" style="55" customWidth="1"/>
    <col min="66" max="118" width="16" style="8" customWidth="1"/>
    <col min="119" max="119" width="16" style="55" customWidth="1"/>
    <col min="120" max="120" width="16" style="8" customWidth="1"/>
    <col min="121" max="121" width="16" style="55" customWidth="1"/>
    <col min="122" max="137" width="16" style="8" customWidth="1"/>
    <col min="138" max="16384" width="9.140625" style="8"/>
  </cols>
  <sheetData>
    <row r="1" spans="1:137" ht="18.75" x14ac:dyDescent="0.3">
      <c r="A1" s="18" t="s">
        <v>127</v>
      </c>
    </row>
    <row r="2" spans="1:137" x14ac:dyDescent="0.25">
      <c r="A2" s="8" t="s">
        <v>128</v>
      </c>
    </row>
    <row r="3" spans="1:137" x14ac:dyDescent="0.25">
      <c r="A3" s="1" t="s">
        <v>0</v>
      </c>
      <c r="B3" s="105" t="s">
        <v>1</v>
      </c>
      <c r="C3" s="120"/>
      <c r="D3" s="120"/>
      <c r="E3" s="106"/>
      <c r="F3" s="105" t="s">
        <v>2</v>
      </c>
      <c r="G3" s="120"/>
      <c r="H3" s="120"/>
      <c r="I3" s="106"/>
      <c r="J3" s="105" t="s">
        <v>3</v>
      </c>
      <c r="K3" s="120"/>
      <c r="L3" s="120"/>
      <c r="M3" s="106"/>
      <c r="N3" s="105" t="s">
        <v>4</v>
      </c>
      <c r="O3" s="120"/>
      <c r="P3" s="120"/>
      <c r="Q3" s="106"/>
      <c r="R3" s="105" t="s">
        <v>5</v>
      </c>
      <c r="S3" s="120"/>
      <c r="T3" s="120"/>
      <c r="U3" s="106"/>
      <c r="V3" s="105" t="s">
        <v>6</v>
      </c>
      <c r="W3" s="120"/>
      <c r="X3" s="120"/>
      <c r="Y3" s="106"/>
      <c r="Z3" s="105" t="s">
        <v>7</v>
      </c>
      <c r="AA3" s="120"/>
      <c r="AB3" s="120"/>
      <c r="AC3" s="106"/>
      <c r="AD3" s="105" t="s">
        <v>8</v>
      </c>
      <c r="AE3" s="120"/>
      <c r="AF3" s="120"/>
      <c r="AG3" s="106"/>
      <c r="AH3" s="105" t="s">
        <v>9</v>
      </c>
      <c r="AI3" s="120"/>
      <c r="AJ3" s="120"/>
      <c r="AK3" s="106"/>
      <c r="AL3" s="105" t="s">
        <v>10</v>
      </c>
      <c r="AM3" s="120"/>
      <c r="AN3" s="120"/>
      <c r="AO3" s="106"/>
      <c r="AP3" s="105" t="s">
        <v>11</v>
      </c>
      <c r="AQ3" s="120"/>
      <c r="AR3" s="120"/>
      <c r="AS3" s="106"/>
      <c r="AT3" s="105" t="s">
        <v>12</v>
      </c>
      <c r="AU3" s="120"/>
      <c r="AV3" s="120"/>
      <c r="AW3" s="106"/>
      <c r="AX3" s="105" t="s">
        <v>13</v>
      </c>
      <c r="AY3" s="120"/>
      <c r="AZ3" s="120"/>
      <c r="BA3" s="106"/>
      <c r="BB3" s="105" t="s">
        <v>14</v>
      </c>
      <c r="BC3" s="120"/>
      <c r="BD3" s="120"/>
      <c r="BE3" s="106"/>
      <c r="BF3" s="105" t="s">
        <v>15</v>
      </c>
      <c r="BG3" s="120"/>
      <c r="BH3" s="120"/>
      <c r="BI3" s="106"/>
      <c r="BJ3" s="105" t="s">
        <v>16</v>
      </c>
      <c r="BK3" s="120"/>
      <c r="BL3" s="120"/>
      <c r="BM3" s="106"/>
      <c r="BN3" s="105" t="s">
        <v>17</v>
      </c>
      <c r="BO3" s="120"/>
      <c r="BP3" s="120"/>
      <c r="BQ3" s="106"/>
      <c r="BR3" s="105" t="s">
        <v>18</v>
      </c>
      <c r="BS3" s="120"/>
      <c r="BT3" s="120"/>
      <c r="BU3" s="106"/>
      <c r="BV3" s="105" t="s">
        <v>19</v>
      </c>
      <c r="BW3" s="120"/>
      <c r="BX3" s="120"/>
      <c r="BY3" s="106"/>
      <c r="BZ3" s="105" t="s">
        <v>20</v>
      </c>
      <c r="CA3" s="120"/>
      <c r="CB3" s="120"/>
      <c r="CC3" s="106"/>
      <c r="CD3" s="105" t="s">
        <v>21</v>
      </c>
      <c r="CE3" s="120"/>
      <c r="CF3" s="120"/>
      <c r="CG3" s="106"/>
      <c r="CH3" s="105" t="s">
        <v>22</v>
      </c>
      <c r="CI3" s="120"/>
      <c r="CJ3" s="120"/>
      <c r="CK3" s="106"/>
      <c r="CL3" s="105" t="s">
        <v>23</v>
      </c>
      <c r="CM3" s="120"/>
      <c r="CN3" s="120"/>
      <c r="CO3" s="106"/>
      <c r="CP3" s="105" t="s">
        <v>24</v>
      </c>
      <c r="CQ3" s="120"/>
      <c r="CR3" s="120"/>
      <c r="CS3" s="106"/>
      <c r="CT3" s="105" t="s">
        <v>25</v>
      </c>
      <c r="CU3" s="120"/>
      <c r="CV3" s="120"/>
      <c r="CW3" s="106"/>
      <c r="CX3" s="105" t="s">
        <v>26</v>
      </c>
      <c r="CY3" s="120"/>
      <c r="CZ3" s="120"/>
      <c r="DA3" s="106"/>
      <c r="DB3" s="105" t="s">
        <v>27</v>
      </c>
      <c r="DC3" s="120"/>
      <c r="DD3" s="120"/>
      <c r="DE3" s="106"/>
      <c r="DF3" s="105" t="s">
        <v>28</v>
      </c>
      <c r="DG3" s="120"/>
      <c r="DH3" s="120"/>
      <c r="DI3" s="106"/>
      <c r="DJ3" s="105" t="s">
        <v>29</v>
      </c>
      <c r="DK3" s="120"/>
      <c r="DL3" s="120"/>
      <c r="DM3" s="106"/>
      <c r="DN3" s="105" t="s">
        <v>30</v>
      </c>
      <c r="DO3" s="120"/>
      <c r="DP3" s="120"/>
      <c r="DQ3" s="106"/>
      <c r="DR3" s="105" t="s">
        <v>31</v>
      </c>
      <c r="DS3" s="120"/>
      <c r="DT3" s="120"/>
      <c r="DU3" s="106"/>
      <c r="DV3" s="125" t="s">
        <v>32</v>
      </c>
      <c r="DW3" s="126"/>
      <c r="DX3" s="126"/>
      <c r="DY3" s="127"/>
      <c r="DZ3" s="109" t="s">
        <v>33</v>
      </c>
      <c r="EA3" s="128"/>
      <c r="EB3" s="128"/>
      <c r="EC3" s="110"/>
      <c r="ED3" s="105" t="s">
        <v>34</v>
      </c>
      <c r="EE3" s="120"/>
      <c r="EF3" s="120"/>
      <c r="EG3" s="106"/>
    </row>
    <row r="4" spans="1:137" ht="15" customHeight="1" x14ac:dyDescent="0.25">
      <c r="A4" s="1"/>
      <c r="B4" s="123" t="s">
        <v>295</v>
      </c>
      <c r="C4" s="124"/>
      <c r="D4" s="121" t="s">
        <v>296</v>
      </c>
      <c r="E4" s="122"/>
      <c r="F4" s="123" t="s">
        <v>295</v>
      </c>
      <c r="G4" s="124"/>
      <c r="H4" s="121" t="s">
        <v>296</v>
      </c>
      <c r="I4" s="122"/>
      <c r="J4" s="123" t="s">
        <v>295</v>
      </c>
      <c r="K4" s="124"/>
      <c r="L4" s="121" t="s">
        <v>296</v>
      </c>
      <c r="M4" s="122"/>
      <c r="N4" s="123" t="s">
        <v>295</v>
      </c>
      <c r="O4" s="124"/>
      <c r="P4" s="121" t="s">
        <v>296</v>
      </c>
      <c r="Q4" s="122"/>
      <c r="R4" s="123" t="s">
        <v>295</v>
      </c>
      <c r="S4" s="124"/>
      <c r="T4" s="121" t="s">
        <v>296</v>
      </c>
      <c r="U4" s="122"/>
      <c r="V4" s="123" t="s">
        <v>295</v>
      </c>
      <c r="W4" s="124"/>
      <c r="X4" s="121" t="s">
        <v>296</v>
      </c>
      <c r="Y4" s="122"/>
      <c r="Z4" s="123" t="s">
        <v>295</v>
      </c>
      <c r="AA4" s="124"/>
      <c r="AB4" s="121" t="s">
        <v>296</v>
      </c>
      <c r="AC4" s="122"/>
      <c r="AD4" s="123" t="s">
        <v>295</v>
      </c>
      <c r="AE4" s="124"/>
      <c r="AF4" s="121" t="s">
        <v>296</v>
      </c>
      <c r="AG4" s="122"/>
      <c r="AH4" s="123" t="s">
        <v>295</v>
      </c>
      <c r="AI4" s="124"/>
      <c r="AJ4" s="121" t="s">
        <v>296</v>
      </c>
      <c r="AK4" s="122"/>
      <c r="AL4" s="123" t="s">
        <v>295</v>
      </c>
      <c r="AM4" s="124"/>
      <c r="AN4" s="121" t="s">
        <v>296</v>
      </c>
      <c r="AO4" s="122"/>
      <c r="AP4" s="123" t="s">
        <v>295</v>
      </c>
      <c r="AQ4" s="124"/>
      <c r="AR4" s="121" t="s">
        <v>296</v>
      </c>
      <c r="AS4" s="122"/>
      <c r="AT4" s="123" t="s">
        <v>295</v>
      </c>
      <c r="AU4" s="124"/>
      <c r="AV4" s="121" t="s">
        <v>296</v>
      </c>
      <c r="AW4" s="122"/>
      <c r="AX4" s="123" t="s">
        <v>295</v>
      </c>
      <c r="AY4" s="124"/>
      <c r="AZ4" s="121" t="s">
        <v>296</v>
      </c>
      <c r="BA4" s="122"/>
      <c r="BB4" s="123" t="s">
        <v>295</v>
      </c>
      <c r="BC4" s="124"/>
      <c r="BD4" s="121" t="s">
        <v>296</v>
      </c>
      <c r="BE4" s="122"/>
      <c r="BF4" s="123" t="s">
        <v>295</v>
      </c>
      <c r="BG4" s="124"/>
      <c r="BH4" s="121" t="s">
        <v>296</v>
      </c>
      <c r="BI4" s="122"/>
      <c r="BJ4" s="123" t="s">
        <v>295</v>
      </c>
      <c r="BK4" s="124"/>
      <c r="BL4" s="121" t="s">
        <v>296</v>
      </c>
      <c r="BM4" s="122"/>
      <c r="BN4" s="123" t="s">
        <v>295</v>
      </c>
      <c r="BO4" s="124"/>
      <c r="BP4" s="121" t="s">
        <v>296</v>
      </c>
      <c r="BQ4" s="122"/>
      <c r="BR4" s="123" t="s">
        <v>295</v>
      </c>
      <c r="BS4" s="124"/>
      <c r="BT4" s="121" t="s">
        <v>296</v>
      </c>
      <c r="BU4" s="122"/>
      <c r="BV4" s="123" t="s">
        <v>295</v>
      </c>
      <c r="BW4" s="124"/>
      <c r="BX4" s="121" t="s">
        <v>296</v>
      </c>
      <c r="BY4" s="122"/>
      <c r="BZ4" s="123" t="s">
        <v>295</v>
      </c>
      <c r="CA4" s="124"/>
      <c r="CB4" s="121" t="s">
        <v>296</v>
      </c>
      <c r="CC4" s="122"/>
      <c r="CD4" s="123" t="s">
        <v>295</v>
      </c>
      <c r="CE4" s="124"/>
      <c r="CF4" s="121" t="s">
        <v>296</v>
      </c>
      <c r="CG4" s="122"/>
      <c r="CH4" s="123" t="s">
        <v>295</v>
      </c>
      <c r="CI4" s="124"/>
      <c r="CJ4" s="121" t="s">
        <v>296</v>
      </c>
      <c r="CK4" s="122"/>
      <c r="CL4" s="123" t="s">
        <v>295</v>
      </c>
      <c r="CM4" s="124"/>
      <c r="CN4" s="121" t="s">
        <v>296</v>
      </c>
      <c r="CO4" s="122"/>
      <c r="CP4" s="123" t="s">
        <v>295</v>
      </c>
      <c r="CQ4" s="124"/>
      <c r="CR4" s="121" t="s">
        <v>296</v>
      </c>
      <c r="CS4" s="122"/>
      <c r="CT4" s="123" t="s">
        <v>295</v>
      </c>
      <c r="CU4" s="124"/>
      <c r="CV4" s="121" t="s">
        <v>296</v>
      </c>
      <c r="CW4" s="122"/>
      <c r="CX4" s="123" t="s">
        <v>295</v>
      </c>
      <c r="CY4" s="124"/>
      <c r="CZ4" s="121" t="s">
        <v>296</v>
      </c>
      <c r="DA4" s="122"/>
      <c r="DB4" s="123" t="s">
        <v>295</v>
      </c>
      <c r="DC4" s="124"/>
      <c r="DD4" s="121" t="s">
        <v>296</v>
      </c>
      <c r="DE4" s="122"/>
      <c r="DF4" s="123" t="s">
        <v>295</v>
      </c>
      <c r="DG4" s="124"/>
      <c r="DH4" s="121" t="s">
        <v>296</v>
      </c>
      <c r="DI4" s="122"/>
      <c r="DJ4" s="123" t="s">
        <v>295</v>
      </c>
      <c r="DK4" s="124"/>
      <c r="DL4" s="121" t="s">
        <v>296</v>
      </c>
      <c r="DM4" s="122"/>
      <c r="DN4" s="123" t="s">
        <v>295</v>
      </c>
      <c r="DO4" s="124"/>
      <c r="DP4" s="121" t="s">
        <v>296</v>
      </c>
      <c r="DQ4" s="122"/>
      <c r="DR4" s="123" t="s">
        <v>295</v>
      </c>
      <c r="DS4" s="124"/>
      <c r="DT4" s="121" t="s">
        <v>296</v>
      </c>
      <c r="DU4" s="122"/>
      <c r="DV4" s="123" t="s">
        <v>295</v>
      </c>
      <c r="DW4" s="124"/>
      <c r="DX4" s="121" t="s">
        <v>296</v>
      </c>
      <c r="DY4" s="122"/>
      <c r="DZ4" s="123" t="s">
        <v>295</v>
      </c>
      <c r="EA4" s="124"/>
      <c r="EB4" s="121" t="s">
        <v>296</v>
      </c>
      <c r="EC4" s="122"/>
      <c r="ED4" s="123" t="s">
        <v>295</v>
      </c>
      <c r="EE4" s="124"/>
      <c r="EF4" s="121" t="s">
        <v>296</v>
      </c>
      <c r="EG4" s="122"/>
    </row>
    <row r="5" spans="1:137" s="83" customFormat="1" x14ac:dyDescent="0.25">
      <c r="A5" s="82"/>
      <c r="B5" s="80" t="s">
        <v>138</v>
      </c>
      <c r="C5" s="72" t="s">
        <v>139</v>
      </c>
      <c r="D5" s="80" t="s">
        <v>138</v>
      </c>
      <c r="E5" s="72" t="s">
        <v>139</v>
      </c>
      <c r="F5" s="80" t="s">
        <v>138</v>
      </c>
      <c r="G5" s="72" t="s">
        <v>139</v>
      </c>
      <c r="H5" s="80" t="s">
        <v>138</v>
      </c>
      <c r="I5" s="72" t="s">
        <v>139</v>
      </c>
      <c r="J5" s="80" t="s">
        <v>138</v>
      </c>
      <c r="K5" s="72" t="s">
        <v>139</v>
      </c>
      <c r="L5" s="80" t="s">
        <v>138</v>
      </c>
      <c r="M5" s="72" t="s">
        <v>139</v>
      </c>
      <c r="N5" s="80" t="s">
        <v>138</v>
      </c>
      <c r="O5" s="72" t="s">
        <v>139</v>
      </c>
      <c r="P5" s="80" t="s">
        <v>138</v>
      </c>
      <c r="Q5" s="72" t="s">
        <v>139</v>
      </c>
      <c r="R5" s="80" t="s">
        <v>138</v>
      </c>
      <c r="S5" s="72" t="s">
        <v>139</v>
      </c>
      <c r="T5" s="80" t="s">
        <v>138</v>
      </c>
      <c r="U5" s="72" t="s">
        <v>139</v>
      </c>
      <c r="V5" s="80" t="s">
        <v>138</v>
      </c>
      <c r="W5" s="72" t="s">
        <v>139</v>
      </c>
      <c r="X5" s="80" t="s">
        <v>138</v>
      </c>
      <c r="Y5" s="72" t="s">
        <v>139</v>
      </c>
      <c r="Z5" s="80" t="s">
        <v>138</v>
      </c>
      <c r="AA5" s="72" t="s">
        <v>139</v>
      </c>
      <c r="AB5" s="80" t="s">
        <v>138</v>
      </c>
      <c r="AC5" s="72" t="s">
        <v>139</v>
      </c>
      <c r="AD5" s="80" t="s">
        <v>138</v>
      </c>
      <c r="AE5" s="72" t="s">
        <v>139</v>
      </c>
      <c r="AF5" s="80" t="s">
        <v>138</v>
      </c>
      <c r="AG5" s="72" t="s">
        <v>139</v>
      </c>
      <c r="AH5" s="80" t="s">
        <v>138</v>
      </c>
      <c r="AI5" s="72" t="s">
        <v>139</v>
      </c>
      <c r="AJ5" s="80" t="s">
        <v>138</v>
      </c>
      <c r="AK5" s="72" t="s">
        <v>139</v>
      </c>
      <c r="AL5" s="80" t="s">
        <v>138</v>
      </c>
      <c r="AM5" s="72" t="s">
        <v>139</v>
      </c>
      <c r="AN5" s="80" t="s">
        <v>138</v>
      </c>
      <c r="AO5" s="72" t="s">
        <v>139</v>
      </c>
      <c r="AP5" s="80" t="s">
        <v>138</v>
      </c>
      <c r="AQ5" s="72" t="s">
        <v>139</v>
      </c>
      <c r="AR5" s="80" t="s">
        <v>138</v>
      </c>
      <c r="AS5" s="72" t="s">
        <v>139</v>
      </c>
      <c r="AT5" s="80" t="s">
        <v>138</v>
      </c>
      <c r="AU5" s="72" t="s">
        <v>139</v>
      </c>
      <c r="AV5" s="80" t="s">
        <v>138</v>
      </c>
      <c r="AW5" s="72" t="s">
        <v>139</v>
      </c>
      <c r="AX5" s="80" t="s">
        <v>138</v>
      </c>
      <c r="AY5" s="72" t="s">
        <v>139</v>
      </c>
      <c r="AZ5" s="80" t="s">
        <v>138</v>
      </c>
      <c r="BA5" s="72" t="s">
        <v>139</v>
      </c>
      <c r="BB5" s="80" t="s">
        <v>138</v>
      </c>
      <c r="BC5" s="72" t="s">
        <v>139</v>
      </c>
      <c r="BD5" s="80" t="s">
        <v>138</v>
      </c>
      <c r="BE5" s="72" t="s">
        <v>139</v>
      </c>
      <c r="BF5" s="80" t="s">
        <v>138</v>
      </c>
      <c r="BG5" s="72" t="s">
        <v>139</v>
      </c>
      <c r="BH5" s="80" t="s">
        <v>138</v>
      </c>
      <c r="BI5" s="72" t="s">
        <v>139</v>
      </c>
      <c r="BJ5" s="80" t="s">
        <v>138</v>
      </c>
      <c r="BK5" s="72" t="s">
        <v>139</v>
      </c>
      <c r="BL5" s="80" t="s">
        <v>138</v>
      </c>
      <c r="BM5" s="72" t="s">
        <v>139</v>
      </c>
      <c r="BN5" s="80" t="s">
        <v>138</v>
      </c>
      <c r="BO5" s="72" t="s">
        <v>139</v>
      </c>
      <c r="BP5" s="80" t="s">
        <v>138</v>
      </c>
      <c r="BQ5" s="72" t="s">
        <v>139</v>
      </c>
      <c r="BR5" s="80" t="s">
        <v>138</v>
      </c>
      <c r="BS5" s="72" t="s">
        <v>139</v>
      </c>
      <c r="BT5" s="80" t="s">
        <v>138</v>
      </c>
      <c r="BU5" s="72" t="s">
        <v>139</v>
      </c>
      <c r="BV5" s="80" t="s">
        <v>138</v>
      </c>
      <c r="BW5" s="72" t="s">
        <v>139</v>
      </c>
      <c r="BX5" s="80" t="s">
        <v>138</v>
      </c>
      <c r="BY5" s="72" t="s">
        <v>139</v>
      </c>
      <c r="BZ5" s="80" t="s">
        <v>138</v>
      </c>
      <c r="CA5" s="72" t="s">
        <v>139</v>
      </c>
      <c r="CB5" s="80" t="s">
        <v>138</v>
      </c>
      <c r="CC5" s="72" t="s">
        <v>139</v>
      </c>
      <c r="CD5" s="80" t="s">
        <v>138</v>
      </c>
      <c r="CE5" s="72" t="s">
        <v>139</v>
      </c>
      <c r="CF5" s="80" t="s">
        <v>138</v>
      </c>
      <c r="CG5" s="72" t="s">
        <v>139</v>
      </c>
      <c r="CH5" s="80" t="s">
        <v>138</v>
      </c>
      <c r="CI5" s="72" t="s">
        <v>139</v>
      </c>
      <c r="CJ5" s="80" t="s">
        <v>138</v>
      </c>
      <c r="CK5" s="72" t="s">
        <v>139</v>
      </c>
      <c r="CL5" s="80" t="s">
        <v>138</v>
      </c>
      <c r="CM5" s="72" t="s">
        <v>139</v>
      </c>
      <c r="CN5" s="80" t="s">
        <v>138</v>
      </c>
      <c r="CO5" s="72" t="s">
        <v>139</v>
      </c>
      <c r="CP5" s="80" t="s">
        <v>138</v>
      </c>
      <c r="CQ5" s="72" t="s">
        <v>139</v>
      </c>
      <c r="CR5" s="80" t="s">
        <v>138</v>
      </c>
      <c r="CS5" s="72" t="s">
        <v>139</v>
      </c>
      <c r="CT5" s="80" t="s">
        <v>138</v>
      </c>
      <c r="CU5" s="72" t="s">
        <v>139</v>
      </c>
      <c r="CV5" s="80" t="s">
        <v>138</v>
      </c>
      <c r="CW5" s="72" t="s">
        <v>139</v>
      </c>
      <c r="CX5" s="80" t="s">
        <v>138</v>
      </c>
      <c r="CY5" s="72" t="s">
        <v>139</v>
      </c>
      <c r="CZ5" s="80" t="s">
        <v>138</v>
      </c>
      <c r="DA5" s="72" t="s">
        <v>139</v>
      </c>
      <c r="DB5" s="80" t="s">
        <v>138</v>
      </c>
      <c r="DC5" s="72" t="s">
        <v>139</v>
      </c>
      <c r="DD5" s="80" t="s">
        <v>138</v>
      </c>
      <c r="DE5" s="72" t="s">
        <v>139</v>
      </c>
      <c r="DF5" s="80" t="s">
        <v>138</v>
      </c>
      <c r="DG5" s="72" t="s">
        <v>139</v>
      </c>
      <c r="DH5" s="80" t="s">
        <v>138</v>
      </c>
      <c r="DI5" s="72" t="s">
        <v>139</v>
      </c>
      <c r="DJ5" s="80" t="s">
        <v>138</v>
      </c>
      <c r="DK5" s="72" t="s">
        <v>139</v>
      </c>
      <c r="DL5" s="80" t="s">
        <v>138</v>
      </c>
      <c r="DM5" s="72" t="s">
        <v>139</v>
      </c>
      <c r="DN5" s="80" t="s">
        <v>138</v>
      </c>
      <c r="DO5" s="72" t="s">
        <v>139</v>
      </c>
      <c r="DP5" s="80" t="s">
        <v>138</v>
      </c>
      <c r="DQ5" s="72" t="s">
        <v>139</v>
      </c>
      <c r="DR5" s="80" t="s">
        <v>138</v>
      </c>
      <c r="DS5" s="72" t="s">
        <v>139</v>
      </c>
      <c r="DT5" s="80" t="s">
        <v>138</v>
      </c>
      <c r="DU5" s="72" t="s">
        <v>139</v>
      </c>
      <c r="DV5" s="80" t="s">
        <v>138</v>
      </c>
      <c r="DW5" s="72" t="s">
        <v>139</v>
      </c>
      <c r="DX5" s="80" t="s">
        <v>138</v>
      </c>
      <c r="DY5" s="72" t="s">
        <v>139</v>
      </c>
      <c r="DZ5" s="80" t="s">
        <v>138</v>
      </c>
      <c r="EA5" s="72" t="s">
        <v>139</v>
      </c>
      <c r="EB5" s="80" t="s">
        <v>138</v>
      </c>
      <c r="EC5" s="72" t="s">
        <v>139</v>
      </c>
      <c r="ED5" s="80" t="s">
        <v>138</v>
      </c>
      <c r="EE5" s="72" t="s">
        <v>139</v>
      </c>
      <c r="EF5" s="80" t="s">
        <v>138</v>
      </c>
      <c r="EG5" s="72" t="s">
        <v>139</v>
      </c>
    </row>
    <row r="6" spans="1:137" x14ac:dyDescent="0.25">
      <c r="A6" s="11" t="s">
        <v>129</v>
      </c>
      <c r="B6" s="11"/>
      <c r="C6" s="11"/>
      <c r="D6" s="11"/>
      <c r="E6" s="11"/>
      <c r="F6" s="11">
        <v>22356</v>
      </c>
      <c r="G6" s="11">
        <v>2818</v>
      </c>
      <c r="H6" s="11">
        <v>39433</v>
      </c>
      <c r="I6" s="11">
        <v>4815</v>
      </c>
      <c r="J6" s="11"/>
      <c r="K6" s="11"/>
      <c r="L6" s="11"/>
      <c r="M6" s="11"/>
      <c r="N6" s="11">
        <v>306539</v>
      </c>
      <c r="O6" s="11">
        <v>31711</v>
      </c>
      <c r="P6" s="11">
        <v>478345</v>
      </c>
      <c r="Q6" s="11">
        <v>55168</v>
      </c>
      <c r="R6" s="11">
        <v>1240418</v>
      </c>
      <c r="S6" s="11">
        <v>67074</v>
      </c>
      <c r="T6" s="11">
        <v>1998255</v>
      </c>
      <c r="U6" s="11">
        <v>124508</v>
      </c>
      <c r="V6" s="11">
        <v>101413</v>
      </c>
      <c r="W6" s="11">
        <v>7260</v>
      </c>
      <c r="X6" s="11">
        <v>196088</v>
      </c>
      <c r="Y6" s="11">
        <v>14616</v>
      </c>
      <c r="Z6" s="11">
        <v>8820</v>
      </c>
      <c r="AA6" s="11">
        <v>1132</v>
      </c>
      <c r="AB6" s="11">
        <v>17238</v>
      </c>
      <c r="AC6" s="11">
        <v>2404</v>
      </c>
      <c r="AD6" s="11">
        <v>24053</v>
      </c>
      <c r="AE6" s="11">
        <v>3679</v>
      </c>
      <c r="AF6" s="11">
        <v>45144</v>
      </c>
      <c r="AG6" s="11">
        <v>6874</v>
      </c>
      <c r="AH6" s="11">
        <v>45916</v>
      </c>
      <c r="AI6" s="11">
        <v>689</v>
      </c>
      <c r="AJ6" s="11">
        <v>53650</v>
      </c>
      <c r="AK6" s="11">
        <v>837</v>
      </c>
      <c r="AL6" s="11">
        <v>1406</v>
      </c>
      <c r="AM6" s="11">
        <v>195.12</v>
      </c>
      <c r="AN6" s="11">
        <v>2226</v>
      </c>
      <c r="AO6" s="11">
        <v>288.19</v>
      </c>
      <c r="AP6" s="11"/>
      <c r="AQ6" s="11"/>
      <c r="AR6" s="11"/>
      <c r="AS6" s="11"/>
      <c r="AT6" s="11">
        <v>155401</v>
      </c>
      <c r="AU6" s="25">
        <v>18039.41</v>
      </c>
      <c r="AV6" s="11">
        <v>290822</v>
      </c>
      <c r="AW6" s="25">
        <v>35077.97</v>
      </c>
      <c r="AX6" s="11">
        <v>17160</v>
      </c>
      <c r="AY6" s="11">
        <v>589371</v>
      </c>
      <c r="AZ6" s="11">
        <v>25536</v>
      </c>
      <c r="BA6" s="11">
        <v>767023</v>
      </c>
      <c r="BB6" s="11">
        <v>202850</v>
      </c>
      <c r="BC6" s="11">
        <v>21575.7</v>
      </c>
      <c r="BD6" s="11">
        <v>359294</v>
      </c>
      <c r="BE6" s="11">
        <v>40205.300000000003</v>
      </c>
      <c r="BF6" s="11">
        <v>411864</v>
      </c>
      <c r="BG6" s="11">
        <v>34263</v>
      </c>
      <c r="BH6" s="11">
        <v>682072</v>
      </c>
      <c r="BI6" s="11">
        <v>69998</v>
      </c>
      <c r="BJ6" s="11">
        <v>1190865</v>
      </c>
      <c r="BK6" s="25">
        <v>27480.080000000002</v>
      </c>
      <c r="BL6" s="11">
        <v>2157804</v>
      </c>
      <c r="BM6" s="25">
        <v>70102.02</v>
      </c>
      <c r="BN6" s="11">
        <v>2473</v>
      </c>
      <c r="BO6" s="11">
        <v>314</v>
      </c>
      <c r="BP6" s="11">
        <v>4870</v>
      </c>
      <c r="BQ6" s="11">
        <v>699</v>
      </c>
      <c r="BR6" s="11">
        <v>37271</v>
      </c>
      <c r="BS6" s="11">
        <v>3100</v>
      </c>
      <c r="BT6" s="11">
        <v>73733</v>
      </c>
      <c r="BU6" s="11">
        <v>6112</v>
      </c>
      <c r="BV6" s="11">
        <v>38637</v>
      </c>
      <c r="BW6" s="11">
        <v>2949</v>
      </c>
      <c r="BX6" s="11">
        <v>73189</v>
      </c>
      <c r="BY6" s="11">
        <v>5658</v>
      </c>
      <c r="BZ6" s="11">
        <v>52017</v>
      </c>
      <c r="CA6" s="11">
        <v>10416</v>
      </c>
      <c r="CB6" s="11">
        <v>99306</v>
      </c>
      <c r="CC6" s="11">
        <v>20137</v>
      </c>
      <c r="CD6" s="11">
        <v>2637273</v>
      </c>
      <c r="CE6" s="25">
        <v>157167.67000000001</v>
      </c>
      <c r="CF6" s="11">
        <v>4727088</v>
      </c>
      <c r="CG6" s="25">
        <v>304857.81</v>
      </c>
      <c r="CH6" s="11"/>
      <c r="CI6" s="11"/>
      <c r="CJ6" s="11">
        <v>7345942</v>
      </c>
      <c r="CK6" s="11">
        <v>244658</v>
      </c>
      <c r="CL6" s="11"/>
      <c r="CM6" s="11"/>
      <c r="CN6" s="11"/>
      <c r="CO6" s="11"/>
      <c r="CP6" s="11">
        <v>50</v>
      </c>
      <c r="CQ6" s="11">
        <v>14.85</v>
      </c>
      <c r="CR6" s="11">
        <v>435</v>
      </c>
      <c r="CS6" s="11">
        <v>101.46</v>
      </c>
      <c r="CT6" s="11">
        <v>483911</v>
      </c>
      <c r="CU6" s="11">
        <v>34995</v>
      </c>
      <c r="CV6" s="11">
        <v>948253</v>
      </c>
      <c r="CW6" s="11">
        <v>70326</v>
      </c>
      <c r="CX6" s="11">
        <v>425</v>
      </c>
      <c r="CY6" s="11">
        <v>66</v>
      </c>
      <c r="CZ6" s="11">
        <v>795</v>
      </c>
      <c r="DA6" s="11">
        <v>123</v>
      </c>
      <c r="DB6" s="11">
        <v>115316</v>
      </c>
      <c r="DC6" s="11">
        <v>16897</v>
      </c>
      <c r="DD6" s="11">
        <v>206573</v>
      </c>
      <c r="DE6" s="11">
        <v>29887</v>
      </c>
      <c r="DF6" s="11">
        <v>103400</v>
      </c>
      <c r="DG6" s="11">
        <v>14465</v>
      </c>
      <c r="DH6" s="11">
        <v>184364</v>
      </c>
      <c r="DI6" s="11">
        <v>26151</v>
      </c>
      <c r="DJ6" s="11">
        <v>47850</v>
      </c>
      <c r="DK6" s="11">
        <v>6664</v>
      </c>
      <c r="DL6" s="11">
        <v>84170</v>
      </c>
      <c r="DM6" s="11">
        <v>11720</v>
      </c>
      <c r="DN6" s="11">
        <v>451722</v>
      </c>
      <c r="DO6" s="25">
        <v>24699.66</v>
      </c>
      <c r="DP6" s="11">
        <v>812427</v>
      </c>
      <c r="DQ6" s="25">
        <v>45447.16</v>
      </c>
      <c r="DR6" s="11">
        <v>994426</v>
      </c>
      <c r="DS6" s="11">
        <v>118434</v>
      </c>
      <c r="DT6" s="11">
        <v>1735049</v>
      </c>
      <c r="DU6" s="11">
        <v>205985</v>
      </c>
      <c r="DV6" s="11">
        <v>354006</v>
      </c>
      <c r="DW6" s="11">
        <v>43234</v>
      </c>
      <c r="DX6" s="11">
        <v>652575</v>
      </c>
      <c r="DY6" s="11">
        <v>83689</v>
      </c>
      <c r="DZ6" s="11">
        <v>3800771</v>
      </c>
      <c r="EA6" s="11">
        <v>203806</v>
      </c>
      <c r="EB6" s="11">
        <v>7221261</v>
      </c>
      <c r="EC6" s="11">
        <v>402251</v>
      </c>
      <c r="ED6" s="11">
        <v>19767</v>
      </c>
      <c r="EE6" s="11">
        <v>2511</v>
      </c>
      <c r="EF6" s="11">
        <v>36536</v>
      </c>
      <c r="EG6" s="11">
        <v>4930</v>
      </c>
    </row>
    <row r="7" spans="1:137" x14ac:dyDescent="0.25">
      <c r="A7" s="11" t="s">
        <v>130</v>
      </c>
      <c r="B7" s="11">
        <v>156</v>
      </c>
      <c r="C7" s="11">
        <v>10.79</v>
      </c>
      <c r="D7" s="11">
        <v>512</v>
      </c>
      <c r="E7" s="11">
        <v>36.4</v>
      </c>
      <c r="F7" s="11">
        <v>48797</v>
      </c>
      <c r="G7" s="11">
        <v>4894</v>
      </c>
      <c r="H7" s="11">
        <v>86855</v>
      </c>
      <c r="I7" s="11">
        <v>8341</v>
      </c>
      <c r="J7" s="11"/>
      <c r="K7" s="11"/>
      <c r="L7" s="11"/>
      <c r="M7" s="11"/>
      <c r="N7" s="11">
        <v>26899</v>
      </c>
      <c r="O7" s="11">
        <v>10228</v>
      </c>
      <c r="P7" s="11">
        <v>45830</v>
      </c>
      <c r="Q7" s="11">
        <v>17621</v>
      </c>
      <c r="R7" s="11">
        <v>1811889</v>
      </c>
      <c r="S7" s="11">
        <v>36313</v>
      </c>
      <c r="T7" s="11">
        <v>3562107</v>
      </c>
      <c r="U7" s="11">
        <v>72098</v>
      </c>
      <c r="V7" s="11">
        <v>77467</v>
      </c>
      <c r="W7" s="11">
        <v>3672</v>
      </c>
      <c r="X7" s="11">
        <v>125937</v>
      </c>
      <c r="Y7" s="11">
        <v>6468</v>
      </c>
      <c r="Z7" s="11">
        <v>322661</v>
      </c>
      <c r="AA7" s="11">
        <v>35559</v>
      </c>
      <c r="AB7" s="11">
        <v>591040</v>
      </c>
      <c r="AC7" s="11">
        <v>65798</v>
      </c>
      <c r="AD7" s="11">
        <v>3840</v>
      </c>
      <c r="AE7" s="11">
        <v>2736</v>
      </c>
      <c r="AF7" s="11">
        <v>6453</v>
      </c>
      <c r="AG7" s="11">
        <v>4763</v>
      </c>
      <c r="AH7" s="11">
        <v>3</v>
      </c>
      <c r="AI7" s="11"/>
      <c r="AJ7" s="11">
        <v>6</v>
      </c>
      <c r="AK7" s="11"/>
      <c r="AL7" s="11"/>
      <c r="AM7" s="11"/>
      <c r="AN7" s="11"/>
      <c r="AO7" s="11"/>
      <c r="AP7" s="11"/>
      <c r="AQ7" s="11"/>
      <c r="AR7" s="11"/>
      <c r="AS7" s="11"/>
      <c r="AT7" s="11">
        <v>199222</v>
      </c>
      <c r="AU7" s="25">
        <v>4074.41</v>
      </c>
      <c r="AV7" s="11">
        <v>359452</v>
      </c>
      <c r="AW7" s="25">
        <v>7798.24</v>
      </c>
      <c r="AX7" s="11"/>
      <c r="AY7" s="11"/>
      <c r="AZ7" s="11"/>
      <c r="BA7" s="11"/>
      <c r="BB7" s="11">
        <v>648080</v>
      </c>
      <c r="BC7" s="11">
        <v>36668.1</v>
      </c>
      <c r="BD7" s="11">
        <v>275941</v>
      </c>
      <c r="BE7" s="11">
        <v>9970.1</v>
      </c>
      <c r="BF7" s="11">
        <v>194604</v>
      </c>
      <c r="BG7" s="11">
        <v>33809</v>
      </c>
      <c r="BH7" s="11">
        <v>312248</v>
      </c>
      <c r="BI7" s="11">
        <v>63589</v>
      </c>
      <c r="BJ7" s="11">
        <v>51498</v>
      </c>
      <c r="BK7" s="25">
        <v>1058.42</v>
      </c>
      <c r="BL7" s="11">
        <v>95242</v>
      </c>
      <c r="BM7" s="25">
        <v>2414.3200000000002</v>
      </c>
      <c r="BN7" s="11">
        <v>35298</v>
      </c>
      <c r="BO7" s="11">
        <v>3477</v>
      </c>
      <c r="BP7" s="11">
        <v>68779</v>
      </c>
      <c r="BQ7" s="11">
        <v>5984</v>
      </c>
      <c r="BR7" s="11">
        <v>23254</v>
      </c>
      <c r="BS7" s="11">
        <v>568</v>
      </c>
      <c r="BT7" s="11">
        <v>44334</v>
      </c>
      <c r="BU7" s="11">
        <v>1074</v>
      </c>
      <c r="BV7" s="11">
        <v>2152</v>
      </c>
      <c r="BW7" s="11">
        <v>25</v>
      </c>
      <c r="BX7" s="11">
        <v>4161</v>
      </c>
      <c r="BY7" s="11">
        <v>58</v>
      </c>
      <c r="BZ7" s="11">
        <v>19119</v>
      </c>
      <c r="CA7" s="11">
        <v>5774</v>
      </c>
      <c r="CB7" s="11">
        <v>32006</v>
      </c>
      <c r="CC7" s="11">
        <v>9992</v>
      </c>
      <c r="CD7" s="11">
        <v>12429</v>
      </c>
      <c r="CE7" s="25">
        <v>485.32</v>
      </c>
      <c r="CF7" s="11">
        <v>27915</v>
      </c>
      <c r="CG7" s="25">
        <v>1120.8399999999999</v>
      </c>
      <c r="CH7" s="11"/>
      <c r="CI7" s="11"/>
      <c r="CJ7" s="11">
        <v>142988</v>
      </c>
      <c r="CK7" s="11">
        <v>8128</v>
      </c>
      <c r="CL7" s="11"/>
      <c r="CM7" s="11"/>
      <c r="CN7" s="11"/>
      <c r="CO7" s="11"/>
      <c r="CP7" s="11"/>
      <c r="CQ7" s="11"/>
      <c r="CR7" s="11"/>
      <c r="CS7" s="11"/>
      <c r="CT7" s="11">
        <v>145452</v>
      </c>
      <c r="CU7" s="11">
        <v>6783</v>
      </c>
      <c r="CV7" s="11">
        <v>288974</v>
      </c>
      <c r="CW7" s="11">
        <v>13385</v>
      </c>
      <c r="CX7" s="11"/>
      <c r="CY7" s="11"/>
      <c r="CZ7" s="11"/>
      <c r="DA7" s="11"/>
      <c r="DB7" s="11">
        <v>32284</v>
      </c>
      <c r="DC7" s="11">
        <v>9286</v>
      </c>
      <c r="DD7" s="11">
        <v>60473</v>
      </c>
      <c r="DE7" s="11">
        <v>16788</v>
      </c>
      <c r="DF7" s="11">
        <v>13076</v>
      </c>
      <c r="DG7" s="11">
        <v>1772</v>
      </c>
      <c r="DH7" s="11">
        <v>25391</v>
      </c>
      <c r="DI7" s="11">
        <v>3730</v>
      </c>
      <c r="DJ7" s="11">
        <v>959213</v>
      </c>
      <c r="DK7" s="11">
        <v>56522</v>
      </c>
      <c r="DL7" s="11">
        <v>1635739</v>
      </c>
      <c r="DM7" s="11">
        <v>96946</v>
      </c>
      <c r="DN7" s="11">
        <v>5554</v>
      </c>
      <c r="DO7" s="25">
        <v>75</v>
      </c>
      <c r="DP7" s="11">
        <v>9515</v>
      </c>
      <c r="DQ7" s="25">
        <v>147.29</v>
      </c>
      <c r="DR7" s="11">
        <v>28602</v>
      </c>
      <c r="DS7" s="11">
        <v>2834</v>
      </c>
      <c r="DT7" s="11">
        <v>44245</v>
      </c>
      <c r="DU7" s="11">
        <v>4756</v>
      </c>
      <c r="DV7" s="11">
        <v>473496</v>
      </c>
      <c r="DW7" s="11">
        <v>19256</v>
      </c>
      <c r="DX7" s="11">
        <v>704444</v>
      </c>
      <c r="DY7" s="11">
        <v>33148</v>
      </c>
      <c r="DZ7" s="11">
        <v>176437</v>
      </c>
      <c r="EA7" s="11">
        <v>12012</v>
      </c>
      <c r="EB7" s="11">
        <v>372923</v>
      </c>
      <c r="EC7" s="11">
        <v>28921</v>
      </c>
      <c r="ED7" s="11">
        <v>166725</v>
      </c>
      <c r="EE7" s="11">
        <v>8396</v>
      </c>
      <c r="EF7" s="11">
        <v>323086</v>
      </c>
      <c r="EG7" s="11">
        <v>18166</v>
      </c>
    </row>
    <row r="8" spans="1:137" x14ac:dyDescent="0.25">
      <c r="A8" s="11" t="s">
        <v>131</v>
      </c>
      <c r="B8" s="11">
        <v>16</v>
      </c>
      <c r="C8" s="11">
        <v>7.34</v>
      </c>
      <c r="D8" s="11">
        <v>22</v>
      </c>
      <c r="E8" s="11">
        <v>10.050000000000001</v>
      </c>
      <c r="F8" s="11">
        <v>826</v>
      </c>
      <c r="G8" s="11">
        <v>2587</v>
      </c>
      <c r="H8" s="11">
        <v>1776</v>
      </c>
      <c r="I8" s="11">
        <v>4591</v>
      </c>
      <c r="J8" s="11"/>
      <c r="K8" s="11"/>
      <c r="L8" s="11"/>
      <c r="M8" s="11"/>
      <c r="N8" s="11">
        <v>1206</v>
      </c>
      <c r="O8" s="11">
        <v>393</v>
      </c>
      <c r="P8" s="11">
        <v>1862</v>
      </c>
      <c r="Q8" s="11">
        <v>665</v>
      </c>
      <c r="R8" s="11">
        <v>518582</v>
      </c>
      <c r="S8" s="11">
        <v>13376</v>
      </c>
      <c r="T8" s="11">
        <v>974301</v>
      </c>
      <c r="U8" s="11">
        <v>24848</v>
      </c>
      <c r="V8" s="11">
        <v>308935</v>
      </c>
      <c r="W8" s="11">
        <v>3995</v>
      </c>
      <c r="X8" s="11">
        <v>723917</v>
      </c>
      <c r="Y8" s="11">
        <v>8334</v>
      </c>
      <c r="Z8" s="11">
        <v>622568</v>
      </c>
      <c r="AA8" s="11">
        <v>48936</v>
      </c>
      <c r="AB8" s="11">
        <v>1153093</v>
      </c>
      <c r="AC8" s="11">
        <v>94957</v>
      </c>
      <c r="AD8" s="11">
        <v>6420</v>
      </c>
      <c r="AE8" s="11">
        <v>507</v>
      </c>
      <c r="AF8" s="11">
        <v>10503</v>
      </c>
      <c r="AG8" s="11">
        <v>903</v>
      </c>
      <c r="AH8" s="11">
        <v>20608</v>
      </c>
      <c r="AI8" s="11">
        <v>1226</v>
      </c>
      <c r="AJ8" s="11">
        <v>37350</v>
      </c>
      <c r="AK8" s="11">
        <v>2265</v>
      </c>
      <c r="AL8" s="11">
        <v>9</v>
      </c>
      <c r="AM8" s="11">
        <v>0.9</v>
      </c>
      <c r="AN8" s="11">
        <v>10</v>
      </c>
      <c r="AO8" s="11">
        <v>1.06</v>
      </c>
      <c r="AP8" s="11"/>
      <c r="AQ8" s="11"/>
      <c r="AR8" s="11"/>
      <c r="AS8" s="11"/>
      <c r="AT8" s="11">
        <v>15552</v>
      </c>
      <c r="AU8" s="25">
        <v>1709.44</v>
      </c>
      <c r="AV8" s="11">
        <v>30993</v>
      </c>
      <c r="AW8" s="25">
        <v>3082.93</v>
      </c>
      <c r="AX8" s="11">
        <v>2302</v>
      </c>
      <c r="AY8" s="11">
        <v>3780</v>
      </c>
      <c r="AZ8" s="11">
        <v>4188</v>
      </c>
      <c r="BA8" s="11">
        <v>17538</v>
      </c>
      <c r="BB8" s="11">
        <v>100674</v>
      </c>
      <c r="BC8" s="11">
        <v>15308.8</v>
      </c>
      <c r="BD8" s="11">
        <v>187888</v>
      </c>
      <c r="BE8" s="11">
        <v>9033</v>
      </c>
      <c r="BF8" s="11">
        <v>59911</v>
      </c>
      <c r="BG8" s="11">
        <v>9273</v>
      </c>
      <c r="BH8" s="11">
        <v>115181</v>
      </c>
      <c r="BI8" s="11">
        <v>18170</v>
      </c>
      <c r="BJ8" s="11">
        <v>8013</v>
      </c>
      <c r="BK8" s="25">
        <v>252.59</v>
      </c>
      <c r="BL8" s="11">
        <v>15024</v>
      </c>
      <c r="BM8" s="25">
        <v>598.54</v>
      </c>
      <c r="BN8" s="11">
        <v>78774</v>
      </c>
      <c r="BO8" s="11">
        <v>973</v>
      </c>
      <c r="BP8" s="11">
        <v>160480</v>
      </c>
      <c r="BQ8" s="11">
        <v>1888</v>
      </c>
      <c r="BR8" s="11">
        <v>4148</v>
      </c>
      <c r="BS8" s="11">
        <v>796</v>
      </c>
      <c r="BT8" s="11">
        <v>6927</v>
      </c>
      <c r="BU8" s="11">
        <v>1331</v>
      </c>
      <c r="BV8" s="11">
        <v>25550</v>
      </c>
      <c r="BW8" s="11">
        <v>3976</v>
      </c>
      <c r="BX8" s="11">
        <v>55310</v>
      </c>
      <c r="BY8" s="11">
        <v>8759</v>
      </c>
      <c r="BZ8" s="11">
        <v>391</v>
      </c>
      <c r="CA8" s="11">
        <v>3038</v>
      </c>
      <c r="CB8" s="11">
        <v>771</v>
      </c>
      <c r="CC8" s="11">
        <v>5939</v>
      </c>
      <c r="CD8" s="11">
        <v>692082</v>
      </c>
      <c r="CE8" s="25">
        <v>10919.71</v>
      </c>
      <c r="CF8" s="11">
        <v>1348155</v>
      </c>
      <c r="CG8" s="25">
        <v>20585.240000000002</v>
      </c>
      <c r="CH8" s="11"/>
      <c r="CI8" s="11"/>
      <c r="CJ8" s="11">
        <v>1783988</v>
      </c>
      <c r="CK8" s="11">
        <v>47694</v>
      </c>
      <c r="CL8" s="11"/>
      <c r="CM8" s="11"/>
      <c r="CN8" s="11"/>
      <c r="CO8" s="11"/>
      <c r="CP8" s="11"/>
      <c r="CQ8" s="11"/>
      <c r="CR8" s="11"/>
      <c r="CS8" s="11"/>
      <c r="CT8" s="11">
        <v>39090</v>
      </c>
      <c r="CU8" s="11">
        <v>6913</v>
      </c>
      <c r="CV8" s="11">
        <v>62903</v>
      </c>
      <c r="CW8" s="11">
        <v>13628</v>
      </c>
      <c r="CX8" s="11">
        <v>388</v>
      </c>
      <c r="CY8" s="11">
        <v>39</v>
      </c>
      <c r="CZ8" s="11">
        <v>1098</v>
      </c>
      <c r="DA8" s="11">
        <v>104</v>
      </c>
      <c r="DB8" s="11">
        <v>2658</v>
      </c>
      <c r="DC8" s="11">
        <v>516</v>
      </c>
      <c r="DD8" s="11">
        <v>4241</v>
      </c>
      <c r="DE8" s="11">
        <v>869</v>
      </c>
      <c r="DF8" s="11">
        <v>40996</v>
      </c>
      <c r="DG8" s="11">
        <v>11538</v>
      </c>
      <c r="DH8" s="11">
        <v>77236</v>
      </c>
      <c r="DI8" s="11">
        <v>21800</v>
      </c>
      <c r="DJ8" s="11">
        <v>915</v>
      </c>
      <c r="DK8" s="11">
        <v>81</v>
      </c>
      <c r="DL8" s="11">
        <v>1626</v>
      </c>
      <c r="DM8" s="11">
        <v>142</v>
      </c>
      <c r="DN8" s="11">
        <v>145273</v>
      </c>
      <c r="DO8" s="25">
        <v>29500.94</v>
      </c>
      <c r="DP8" s="11">
        <v>290220</v>
      </c>
      <c r="DQ8" s="25">
        <v>56893.34</v>
      </c>
      <c r="DR8" s="11">
        <v>2121</v>
      </c>
      <c r="DS8" s="11">
        <v>215</v>
      </c>
      <c r="DT8" s="11">
        <v>4009</v>
      </c>
      <c r="DU8" s="11">
        <v>440</v>
      </c>
      <c r="DV8" s="11">
        <v>466781</v>
      </c>
      <c r="DW8" s="11">
        <v>5041</v>
      </c>
      <c r="DX8" s="11">
        <v>914457</v>
      </c>
      <c r="DY8" s="11">
        <v>9015</v>
      </c>
      <c r="DZ8" s="11">
        <v>9304</v>
      </c>
      <c r="EA8" s="11">
        <v>1739</v>
      </c>
      <c r="EB8" s="11">
        <v>18934</v>
      </c>
      <c r="EC8" s="11">
        <v>3334</v>
      </c>
      <c r="ED8" s="11">
        <v>75</v>
      </c>
      <c r="EE8" s="11">
        <v>10</v>
      </c>
      <c r="EF8" s="11">
        <v>138</v>
      </c>
      <c r="EG8" s="11">
        <v>13</v>
      </c>
    </row>
    <row r="9" spans="1:137" x14ac:dyDescent="0.25">
      <c r="A9" s="11" t="s">
        <v>132</v>
      </c>
      <c r="B9" s="11">
        <v>105924</v>
      </c>
      <c r="C9" s="11">
        <v>1397.86</v>
      </c>
      <c r="D9" s="11">
        <v>178080</v>
      </c>
      <c r="E9" s="11">
        <v>2479.58</v>
      </c>
      <c r="F9" s="11">
        <v>4880</v>
      </c>
      <c r="G9" s="11">
        <v>5270</v>
      </c>
      <c r="H9" s="11">
        <v>9897</v>
      </c>
      <c r="I9" s="11">
        <v>10934</v>
      </c>
      <c r="J9" s="11">
        <v>966174</v>
      </c>
      <c r="K9" s="25">
        <v>9200.08</v>
      </c>
      <c r="L9" s="11">
        <v>968837</v>
      </c>
      <c r="M9" s="25">
        <v>9263.52</v>
      </c>
      <c r="N9" s="11">
        <v>23734</v>
      </c>
      <c r="O9" s="11">
        <v>5307</v>
      </c>
      <c r="P9" s="11">
        <v>38103</v>
      </c>
      <c r="Q9" s="11">
        <v>13551</v>
      </c>
      <c r="R9" s="11">
        <v>2869178</v>
      </c>
      <c r="S9" s="11">
        <v>117091</v>
      </c>
      <c r="T9" s="11">
        <v>4779307</v>
      </c>
      <c r="U9" s="11">
        <v>225855</v>
      </c>
      <c r="V9" s="11">
        <v>513969</v>
      </c>
      <c r="W9" s="11">
        <v>31706</v>
      </c>
      <c r="X9" s="11">
        <v>888164</v>
      </c>
      <c r="Y9" s="11">
        <v>67666</v>
      </c>
      <c r="Z9" s="11">
        <v>116126</v>
      </c>
      <c r="AA9" s="11">
        <v>21341</v>
      </c>
      <c r="AB9" s="11">
        <v>261526</v>
      </c>
      <c r="AC9" s="11">
        <v>46081</v>
      </c>
      <c r="AD9" s="11">
        <v>18221</v>
      </c>
      <c r="AE9" s="11">
        <v>4118</v>
      </c>
      <c r="AF9" s="11">
        <v>33127</v>
      </c>
      <c r="AG9" s="11">
        <v>9703</v>
      </c>
      <c r="AH9" s="11">
        <v>146869</v>
      </c>
      <c r="AI9" s="11">
        <v>2759</v>
      </c>
      <c r="AJ9" s="11">
        <v>180181</v>
      </c>
      <c r="AK9" s="11">
        <v>4308</v>
      </c>
      <c r="AL9" s="11">
        <v>1974</v>
      </c>
      <c r="AM9" s="11">
        <v>2318.16</v>
      </c>
      <c r="AN9" s="11">
        <v>3234</v>
      </c>
      <c r="AO9" s="11">
        <v>2807.72</v>
      </c>
      <c r="AP9" s="11">
        <v>105</v>
      </c>
      <c r="AQ9" s="11">
        <v>2392.75</v>
      </c>
      <c r="AR9" s="11">
        <v>160</v>
      </c>
      <c r="AS9" s="11">
        <v>4342.47</v>
      </c>
      <c r="AT9" s="11">
        <v>73361</v>
      </c>
      <c r="AU9" s="25">
        <v>17780.41</v>
      </c>
      <c r="AV9" s="11">
        <v>143230</v>
      </c>
      <c r="AW9" s="25">
        <v>39857</v>
      </c>
      <c r="AX9" s="11">
        <v>10937</v>
      </c>
      <c r="AY9" s="11">
        <v>192657</v>
      </c>
      <c r="AZ9" s="11">
        <v>19442</v>
      </c>
      <c r="BA9" s="11">
        <v>293902</v>
      </c>
      <c r="BB9" s="11">
        <v>684065</v>
      </c>
      <c r="BC9" s="11">
        <v>64792.2</v>
      </c>
      <c r="BD9" s="11">
        <v>126770</v>
      </c>
      <c r="BE9" s="11">
        <v>1813.5</v>
      </c>
      <c r="BF9" s="11">
        <v>4564078</v>
      </c>
      <c r="BG9" s="11">
        <v>141097</v>
      </c>
      <c r="BH9" s="11">
        <v>8759657</v>
      </c>
      <c r="BI9" s="11">
        <v>317134</v>
      </c>
      <c r="BJ9" s="11">
        <v>487011</v>
      </c>
      <c r="BK9" s="25">
        <v>51333.55</v>
      </c>
      <c r="BL9" s="11">
        <v>1000047</v>
      </c>
      <c r="BM9" s="25">
        <v>147073.37</v>
      </c>
      <c r="BN9" s="11">
        <v>41551</v>
      </c>
      <c r="BO9" s="11">
        <v>2599</v>
      </c>
      <c r="BP9" s="11">
        <v>66901</v>
      </c>
      <c r="BQ9" s="11">
        <v>4880</v>
      </c>
      <c r="BR9" s="11">
        <v>305195</v>
      </c>
      <c r="BS9" s="11">
        <v>22264</v>
      </c>
      <c r="BT9" s="11">
        <v>523457</v>
      </c>
      <c r="BU9" s="11">
        <v>48634</v>
      </c>
      <c r="BV9" s="11">
        <v>88025</v>
      </c>
      <c r="BW9" s="11">
        <v>11446</v>
      </c>
      <c r="BX9" s="11">
        <v>173359</v>
      </c>
      <c r="BY9" s="11">
        <v>21613</v>
      </c>
      <c r="BZ9" s="11">
        <v>15123</v>
      </c>
      <c r="CA9" s="11">
        <v>3073</v>
      </c>
      <c r="CB9" s="11">
        <v>30917</v>
      </c>
      <c r="CC9" s="11">
        <v>6172</v>
      </c>
      <c r="CD9" s="11">
        <v>344603</v>
      </c>
      <c r="CE9" s="25">
        <v>73894.289999999994</v>
      </c>
      <c r="CF9" s="11">
        <v>715035</v>
      </c>
      <c r="CG9" s="25">
        <v>162271.25</v>
      </c>
      <c r="CH9" s="11"/>
      <c r="CI9" s="11"/>
      <c r="CJ9" s="11">
        <v>488439</v>
      </c>
      <c r="CK9" s="11">
        <v>146568</v>
      </c>
      <c r="CL9" s="11"/>
      <c r="CM9" s="11"/>
      <c r="CN9" s="11"/>
      <c r="CO9" s="11"/>
      <c r="CP9" s="11">
        <v>12172</v>
      </c>
      <c r="CQ9" s="11">
        <v>3099</v>
      </c>
      <c r="CR9" s="11">
        <v>17885</v>
      </c>
      <c r="CS9" s="11">
        <v>5208.76</v>
      </c>
      <c r="CT9" s="11">
        <v>491949</v>
      </c>
      <c r="CU9" s="11">
        <v>44691</v>
      </c>
      <c r="CV9" s="11">
        <v>922603</v>
      </c>
      <c r="CW9" s="11">
        <v>121460</v>
      </c>
      <c r="CX9" s="11"/>
      <c r="CY9" s="11"/>
      <c r="CZ9" s="11"/>
      <c r="DA9" s="11"/>
      <c r="DB9" s="11">
        <v>51026</v>
      </c>
      <c r="DC9" s="11">
        <v>13743</v>
      </c>
      <c r="DD9" s="11">
        <v>94120</v>
      </c>
      <c r="DE9" s="11">
        <v>26932</v>
      </c>
      <c r="DF9" s="11">
        <v>195553</v>
      </c>
      <c r="DG9" s="11">
        <v>36475</v>
      </c>
      <c r="DH9" s="11">
        <v>390390</v>
      </c>
      <c r="DI9" s="11">
        <v>73437</v>
      </c>
      <c r="DJ9" s="11">
        <v>117783</v>
      </c>
      <c r="DK9" s="11">
        <v>29683</v>
      </c>
      <c r="DL9" s="11">
        <v>220971</v>
      </c>
      <c r="DM9" s="11">
        <v>63838</v>
      </c>
      <c r="DN9" s="11">
        <v>110294</v>
      </c>
      <c r="DO9" s="25">
        <v>4950.3999999999996</v>
      </c>
      <c r="DP9" s="11">
        <v>181661</v>
      </c>
      <c r="DQ9" s="25">
        <v>8351.6</v>
      </c>
      <c r="DR9" s="11">
        <v>29360</v>
      </c>
      <c r="DS9" s="11">
        <v>16610</v>
      </c>
      <c r="DT9" s="11">
        <v>48674</v>
      </c>
      <c r="DU9" s="11">
        <v>27337</v>
      </c>
      <c r="DV9" s="11">
        <v>1114330</v>
      </c>
      <c r="DW9" s="11">
        <v>75170</v>
      </c>
      <c r="DX9" s="11">
        <v>2265569</v>
      </c>
      <c r="DY9" s="11">
        <v>166739</v>
      </c>
      <c r="DZ9" s="11">
        <v>233113</v>
      </c>
      <c r="EA9" s="11">
        <v>65910</v>
      </c>
      <c r="EB9" s="11">
        <v>414571</v>
      </c>
      <c r="EC9" s="11">
        <v>146755</v>
      </c>
      <c r="ED9" s="11">
        <v>120579</v>
      </c>
      <c r="EE9" s="11">
        <v>13946</v>
      </c>
      <c r="EF9" s="11">
        <v>220794</v>
      </c>
      <c r="EG9" s="11">
        <v>27294</v>
      </c>
    </row>
    <row r="10" spans="1:137" x14ac:dyDescent="0.25">
      <c r="A10" s="11" t="s">
        <v>133</v>
      </c>
      <c r="B10" s="11"/>
      <c r="C10" s="11"/>
      <c r="D10" s="11"/>
      <c r="E10" s="11"/>
      <c r="F10" s="11"/>
      <c r="G10" s="11"/>
      <c r="H10" s="11"/>
      <c r="I10" s="11"/>
      <c r="J10" s="11">
        <v>53869</v>
      </c>
      <c r="K10" s="25">
        <v>7391.87</v>
      </c>
      <c r="L10" s="11">
        <v>55026</v>
      </c>
      <c r="M10" s="25">
        <v>9445.4699999999993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>
        <v>1</v>
      </c>
      <c r="AU10" s="25">
        <v>1.3</v>
      </c>
      <c r="AV10" s="11">
        <v>1</v>
      </c>
      <c r="AW10" s="25">
        <v>8.9499999999999993</v>
      </c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>
        <v>0</v>
      </c>
      <c r="BK10" s="25">
        <v>0</v>
      </c>
      <c r="BL10" s="11">
        <v>0</v>
      </c>
      <c r="BM10" s="25">
        <v>0</v>
      </c>
      <c r="BN10" s="11">
        <v>19002</v>
      </c>
      <c r="BO10" s="11">
        <v>117</v>
      </c>
      <c r="BP10" s="11">
        <v>25051</v>
      </c>
      <c r="BQ10" s="11">
        <v>152</v>
      </c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>
        <v>0</v>
      </c>
      <c r="CE10" s="25">
        <v>0</v>
      </c>
      <c r="CF10" s="11">
        <v>0</v>
      </c>
      <c r="CG10" s="25">
        <v>0</v>
      </c>
      <c r="CH10" s="11"/>
      <c r="CI10" s="11"/>
      <c r="CJ10" s="11">
        <v>187</v>
      </c>
      <c r="CK10" s="11">
        <v>10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>
        <v>1</v>
      </c>
      <c r="DC10" s="11">
        <v>666</v>
      </c>
      <c r="DD10" s="11">
        <v>24</v>
      </c>
      <c r="DE10" s="11">
        <v>1166</v>
      </c>
      <c r="DF10" s="11">
        <v>20</v>
      </c>
      <c r="DG10" s="11">
        <v>0</v>
      </c>
      <c r="DH10" s="11">
        <v>25</v>
      </c>
      <c r="DI10" s="11">
        <v>1</v>
      </c>
      <c r="DJ10" s="11"/>
      <c r="DK10" s="11"/>
      <c r="DL10" s="11"/>
      <c r="DM10" s="11"/>
      <c r="DN10" s="11">
        <v>0</v>
      </c>
      <c r="DO10" s="25">
        <v>0</v>
      </c>
      <c r="DP10" s="11">
        <v>0</v>
      </c>
      <c r="DQ10" s="25">
        <v>0</v>
      </c>
      <c r="DR10" s="11"/>
      <c r="DS10" s="11"/>
      <c r="DT10" s="11"/>
      <c r="DU10" s="11"/>
      <c r="DV10" s="11"/>
      <c r="DW10" s="11"/>
      <c r="DX10" s="11"/>
      <c r="DY10" s="11"/>
      <c r="DZ10" s="11">
        <v>1</v>
      </c>
      <c r="EA10" s="11">
        <v>0</v>
      </c>
      <c r="EB10" s="11">
        <v>2</v>
      </c>
      <c r="EC10" s="11">
        <v>0</v>
      </c>
      <c r="ED10" s="11"/>
      <c r="EE10" s="11"/>
      <c r="EF10" s="11"/>
      <c r="EG10" s="11"/>
    </row>
    <row r="11" spans="1:137" x14ac:dyDescent="0.25">
      <c r="A11" s="11" t="s">
        <v>134</v>
      </c>
      <c r="B11" s="11">
        <v>191886</v>
      </c>
      <c r="C11" s="11">
        <v>8160.67</v>
      </c>
      <c r="D11" s="11">
        <v>271319</v>
      </c>
      <c r="E11" s="11">
        <v>13530.99</v>
      </c>
      <c r="F11" s="11">
        <v>10707</v>
      </c>
      <c r="G11" s="11">
        <v>1608</v>
      </c>
      <c r="H11" s="11">
        <v>23484</v>
      </c>
      <c r="I11" s="11">
        <v>2806</v>
      </c>
      <c r="J11" s="11">
        <v>12141</v>
      </c>
      <c r="K11" s="25">
        <v>236.77</v>
      </c>
      <c r="L11" s="11">
        <v>12864</v>
      </c>
      <c r="M11" s="25">
        <v>254.87</v>
      </c>
      <c r="N11" s="11">
        <v>56868</v>
      </c>
      <c r="O11" s="11">
        <v>8307</v>
      </c>
      <c r="P11" s="11">
        <v>92791</v>
      </c>
      <c r="Q11" s="11">
        <v>16019</v>
      </c>
      <c r="R11" s="11">
        <v>792926</v>
      </c>
      <c r="S11" s="11">
        <v>184870</v>
      </c>
      <c r="T11" s="11">
        <v>1523250</v>
      </c>
      <c r="U11" s="11">
        <v>246863</v>
      </c>
      <c r="V11" s="11">
        <v>178326</v>
      </c>
      <c r="W11" s="11">
        <v>52603</v>
      </c>
      <c r="X11" s="11">
        <v>315709</v>
      </c>
      <c r="Y11" s="11">
        <v>59984</v>
      </c>
      <c r="Z11" s="11">
        <v>48938</v>
      </c>
      <c r="AA11" s="11">
        <v>1871</v>
      </c>
      <c r="AB11" s="11">
        <v>86378</v>
      </c>
      <c r="AC11" s="11">
        <v>9684</v>
      </c>
      <c r="AD11" s="11">
        <v>9349</v>
      </c>
      <c r="AE11" s="11">
        <v>1653</v>
      </c>
      <c r="AF11" s="11">
        <v>17912</v>
      </c>
      <c r="AG11" s="11">
        <v>3047</v>
      </c>
      <c r="AH11" s="11">
        <f>8502+682</f>
        <v>9184</v>
      </c>
      <c r="AI11" s="11">
        <f>176+937</f>
        <v>1113</v>
      </c>
      <c r="AJ11" s="11">
        <f>25688+2252</f>
        <v>27940</v>
      </c>
      <c r="AK11" s="11">
        <f>577+1053</f>
        <v>1630</v>
      </c>
      <c r="AL11" s="11">
        <v>2579</v>
      </c>
      <c r="AM11" s="11">
        <v>258.47000000000003</v>
      </c>
      <c r="AN11" s="11">
        <v>6771</v>
      </c>
      <c r="AO11" s="11">
        <v>1344.5</v>
      </c>
      <c r="AP11" s="11">
        <v>1285</v>
      </c>
      <c r="AQ11" s="11">
        <v>8494.75</v>
      </c>
      <c r="AR11" s="11">
        <v>2397</v>
      </c>
      <c r="AS11" s="11">
        <v>15712.62</v>
      </c>
      <c r="AT11" s="11">
        <v>103973</v>
      </c>
      <c r="AU11" s="25">
        <v>41006.75</v>
      </c>
      <c r="AV11" s="11">
        <v>181431</v>
      </c>
      <c r="AW11" s="25">
        <v>53422.7</v>
      </c>
      <c r="AX11" s="11">
        <v>19821</v>
      </c>
      <c r="AY11" s="11">
        <v>733247</v>
      </c>
      <c r="AZ11" s="11">
        <v>38960</v>
      </c>
      <c r="BA11" s="11">
        <v>1454463</v>
      </c>
      <c r="BB11" s="11">
        <v>631702</v>
      </c>
      <c r="BC11" s="11">
        <v>73855.600000000006</v>
      </c>
      <c r="BD11" s="11">
        <v>111218</v>
      </c>
      <c r="BE11" s="11">
        <v>8461.4</v>
      </c>
      <c r="BF11" s="11">
        <f>359274+309766</f>
        <v>669040</v>
      </c>
      <c r="BG11" s="11">
        <f>7087+46197</f>
        <v>53284</v>
      </c>
      <c r="BH11" s="11">
        <f>733526+636035</f>
        <v>1369561</v>
      </c>
      <c r="BI11" s="11">
        <f>13847+110647</f>
        <v>124494</v>
      </c>
      <c r="BJ11" s="11">
        <v>153628</v>
      </c>
      <c r="BK11" s="25">
        <v>148832.12</v>
      </c>
      <c r="BL11" s="11">
        <v>256551</v>
      </c>
      <c r="BM11" s="25">
        <v>197831.04000000001</v>
      </c>
      <c r="BN11" s="11">
        <v>228608</v>
      </c>
      <c r="BO11" s="11">
        <v>1687</v>
      </c>
      <c r="BP11" s="11">
        <v>321846</v>
      </c>
      <c r="BQ11" s="11">
        <v>2957</v>
      </c>
      <c r="BR11" s="11">
        <v>212795</v>
      </c>
      <c r="BS11" s="11">
        <v>1246</v>
      </c>
      <c r="BT11" s="11">
        <v>364076</v>
      </c>
      <c r="BU11" s="11">
        <v>2848</v>
      </c>
      <c r="BV11" s="11">
        <v>30075</v>
      </c>
      <c r="BW11" s="11">
        <v>1810</v>
      </c>
      <c r="BX11" s="11">
        <v>40895</v>
      </c>
      <c r="BY11" s="11">
        <v>2805</v>
      </c>
      <c r="BZ11" s="11">
        <v>24177</v>
      </c>
      <c r="CA11" s="11">
        <v>5820</v>
      </c>
      <c r="CB11" s="11">
        <v>46573</v>
      </c>
      <c r="CC11" s="11">
        <v>10927</v>
      </c>
      <c r="CD11" s="11">
        <v>121256</v>
      </c>
      <c r="CE11" s="25">
        <v>138436.75</v>
      </c>
      <c r="CF11" s="11">
        <v>228719</v>
      </c>
      <c r="CG11" s="25">
        <v>199388.76</v>
      </c>
      <c r="CH11" s="11"/>
      <c r="CI11" s="11"/>
      <c r="CJ11" s="11">
        <v>-1021641</v>
      </c>
      <c r="CK11" s="11">
        <v>273268</v>
      </c>
      <c r="CL11" s="11"/>
      <c r="CM11" s="11"/>
      <c r="CN11" s="11"/>
      <c r="CO11" s="11"/>
      <c r="CP11" s="11">
        <v>1336</v>
      </c>
      <c r="CQ11" s="11">
        <v>397.22</v>
      </c>
      <c r="CR11" s="11">
        <v>2264</v>
      </c>
      <c r="CS11" s="11">
        <v>690.06</v>
      </c>
      <c r="CT11" s="11">
        <v>183421</v>
      </c>
      <c r="CU11" s="11">
        <v>142337</v>
      </c>
      <c r="CV11" s="11">
        <v>377279</v>
      </c>
      <c r="CW11" s="11">
        <v>203710</v>
      </c>
      <c r="CX11" s="11">
        <v>1030</v>
      </c>
      <c r="CY11" s="11">
        <v>141</v>
      </c>
      <c r="CZ11" s="11">
        <v>2849</v>
      </c>
      <c r="DA11" s="11">
        <v>346</v>
      </c>
      <c r="DB11" s="11">
        <v>42291</v>
      </c>
      <c r="DC11" s="11">
        <v>14993</v>
      </c>
      <c r="DD11" s="11">
        <v>87949</v>
      </c>
      <c r="DE11" s="11">
        <v>37999</v>
      </c>
      <c r="DF11" s="11">
        <v>155764</v>
      </c>
      <c r="DG11" s="11">
        <v>43336</v>
      </c>
      <c r="DH11" s="11">
        <v>250462</v>
      </c>
      <c r="DI11" s="11">
        <v>54252</v>
      </c>
      <c r="DJ11" s="11">
        <v>1215943</v>
      </c>
      <c r="DK11" s="11">
        <v>90676</v>
      </c>
      <c r="DL11" s="11">
        <v>1227353</v>
      </c>
      <c r="DM11" s="11">
        <v>138652</v>
      </c>
      <c r="DN11" s="11">
        <v>166383</v>
      </c>
      <c r="DO11" s="25">
        <v>3849.86</v>
      </c>
      <c r="DP11" s="11">
        <v>266627</v>
      </c>
      <c r="DQ11" s="25">
        <v>6739.56</v>
      </c>
      <c r="DR11" s="11">
        <v>125466</v>
      </c>
      <c r="DS11" s="11">
        <v>16896</v>
      </c>
      <c r="DT11" s="11">
        <v>230760</v>
      </c>
      <c r="DU11" s="11">
        <v>30389</v>
      </c>
      <c r="DV11" s="11">
        <v>285812</v>
      </c>
      <c r="DW11" s="11">
        <v>27683</v>
      </c>
      <c r="DX11" s="11">
        <v>547160</v>
      </c>
      <c r="DY11" s="11">
        <v>84627</v>
      </c>
      <c r="DZ11" s="11">
        <v>236471</v>
      </c>
      <c r="EA11" s="11">
        <v>134671</v>
      </c>
      <c r="EB11" s="11">
        <v>427813</v>
      </c>
      <c r="EC11" s="11">
        <v>184864</v>
      </c>
      <c r="ED11" s="11">
        <v>41138</v>
      </c>
      <c r="EE11" s="11">
        <v>58410</v>
      </c>
      <c r="EF11" s="11">
        <v>67288</v>
      </c>
      <c r="EG11" s="11">
        <v>68763</v>
      </c>
    </row>
    <row r="12" spans="1:137" x14ac:dyDescent="0.25">
      <c r="A12" s="11" t="s">
        <v>46</v>
      </c>
      <c r="B12" s="11">
        <f>B13-B11-B10-B9-B8-B7-B6</f>
        <v>2158</v>
      </c>
      <c r="C12" s="11">
        <f t="shared" ref="C12:BN12" si="0">C13-C11-C10-C9-C8-C7-C6</f>
        <v>272.89999999999952</v>
      </c>
      <c r="D12" s="11">
        <f t="shared" si="0"/>
        <v>3881</v>
      </c>
      <c r="E12" s="11">
        <f t="shared" si="0"/>
        <v>485.98000000000036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14748569</v>
      </c>
      <c r="K12" s="25">
        <f t="shared" si="0"/>
        <v>611265.35</v>
      </c>
      <c r="L12" s="11">
        <f t="shared" si="0"/>
        <v>14849893</v>
      </c>
      <c r="M12" s="25">
        <f t="shared" si="0"/>
        <v>618897.69000000006</v>
      </c>
      <c r="N12" s="11">
        <f t="shared" si="0"/>
        <v>19328</v>
      </c>
      <c r="O12" s="11">
        <f t="shared" si="0"/>
        <v>1644</v>
      </c>
      <c r="P12" s="11">
        <f t="shared" si="0"/>
        <v>34371</v>
      </c>
      <c r="Q12" s="11">
        <f t="shared" si="0"/>
        <v>3227</v>
      </c>
      <c r="R12" s="11">
        <f t="shared" si="0"/>
        <v>383708</v>
      </c>
      <c r="S12" s="11">
        <f t="shared" si="0"/>
        <v>7586</v>
      </c>
      <c r="T12" s="11">
        <f t="shared" si="0"/>
        <v>707923</v>
      </c>
      <c r="U12" s="11">
        <f t="shared" si="0"/>
        <v>14433</v>
      </c>
      <c r="V12" s="11">
        <f t="shared" si="0"/>
        <v>0</v>
      </c>
      <c r="W12" s="11">
        <f t="shared" si="0"/>
        <v>0</v>
      </c>
      <c r="X12" s="11">
        <f t="shared" si="0"/>
        <v>0</v>
      </c>
      <c r="Y12" s="11">
        <f t="shared" si="0"/>
        <v>0</v>
      </c>
      <c r="Z12" s="11">
        <f t="shared" si="0"/>
        <v>0</v>
      </c>
      <c r="AA12" s="11">
        <f t="shared" si="0"/>
        <v>0</v>
      </c>
      <c r="AB12" s="11">
        <f t="shared" si="0"/>
        <v>0</v>
      </c>
      <c r="AC12" s="11">
        <f t="shared" si="0"/>
        <v>1</v>
      </c>
      <c r="AD12" s="11">
        <f t="shared" si="0"/>
        <v>0</v>
      </c>
      <c r="AE12" s="11">
        <f t="shared" si="0"/>
        <v>0</v>
      </c>
      <c r="AF12" s="11">
        <f t="shared" si="0"/>
        <v>0</v>
      </c>
      <c r="AG12" s="11">
        <f t="shared" si="0"/>
        <v>0</v>
      </c>
      <c r="AH12" s="11">
        <f t="shared" si="0"/>
        <v>14410</v>
      </c>
      <c r="AI12" s="11">
        <f t="shared" si="0"/>
        <v>716</v>
      </c>
      <c r="AJ12" s="11">
        <f t="shared" si="0"/>
        <v>28022</v>
      </c>
      <c r="AK12" s="11">
        <f t="shared" si="0"/>
        <v>1611</v>
      </c>
      <c r="AL12" s="11">
        <f t="shared" si="0"/>
        <v>5580</v>
      </c>
      <c r="AM12" s="11">
        <f t="shared" si="0"/>
        <v>565.05999999999995</v>
      </c>
      <c r="AN12" s="11">
        <f t="shared" si="0"/>
        <v>8430</v>
      </c>
      <c r="AO12" s="11">
        <f t="shared" si="0"/>
        <v>710.77</v>
      </c>
      <c r="AP12" s="11">
        <f t="shared" si="0"/>
        <v>0</v>
      </c>
      <c r="AQ12" s="11">
        <f t="shared" si="0"/>
        <v>0.5</v>
      </c>
      <c r="AR12" s="11">
        <f t="shared" si="0"/>
        <v>0</v>
      </c>
      <c r="AS12" s="11">
        <f t="shared" si="0"/>
        <v>-9.0000000001055014E-2</v>
      </c>
      <c r="AT12" s="11">
        <f t="shared" si="0"/>
        <v>21244</v>
      </c>
      <c r="AU12" s="25">
        <f t="shared" si="0"/>
        <v>1410.0099999999948</v>
      </c>
      <c r="AV12" s="11">
        <f t="shared" si="0"/>
        <v>38885</v>
      </c>
      <c r="AW12" s="25">
        <f t="shared" si="0"/>
        <v>3178.7700000000041</v>
      </c>
      <c r="AX12" s="11">
        <f t="shared" si="0"/>
        <v>0</v>
      </c>
      <c r="AY12" s="11">
        <f t="shared" si="0"/>
        <v>0</v>
      </c>
      <c r="AZ12" s="11">
        <f t="shared" si="0"/>
        <v>0</v>
      </c>
      <c r="BA12" s="11">
        <f t="shared" si="0"/>
        <v>0</v>
      </c>
      <c r="BB12" s="11">
        <f t="shared" si="0"/>
        <v>660976</v>
      </c>
      <c r="BC12" s="11">
        <f t="shared" si="0"/>
        <v>115207.50000000004</v>
      </c>
      <c r="BD12" s="11">
        <f t="shared" si="0"/>
        <v>4025146</v>
      </c>
      <c r="BE12" s="11">
        <f t="shared" si="0"/>
        <v>435572.2</v>
      </c>
      <c r="BF12" s="11">
        <f t="shared" si="0"/>
        <v>857017</v>
      </c>
      <c r="BG12" s="11">
        <f t="shared" si="0"/>
        <v>23537</v>
      </c>
      <c r="BH12" s="11">
        <f t="shared" si="0"/>
        <v>1506039</v>
      </c>
      <c r="BI12" s="11">
        <f t="shared" si="0"/>
        <v>50566</v>
      </c>
      <c r="BJ12" s="11">
        <f t="shared" si="0"/>
        <v>0</v>
      </c>
      <c r="BK12" s="25">
        <f t="shared" si="0"/>
        <v>0</v>
      </c>
      <c r="BL12" s="11">
        <f t="shared" si="0"/>
        <v>0</v>
      </c>
      <c r="BM12" s="25">
        <f t="shared" si="0"/>
        <v>0</v>
      </c>
      <c r="BN12" s="11">
        <f t="shared" si="0"/>
        <v>35994</v>
      </c>
      <c r="BO12" s="11">
        <f t="shared" ref="BO12:DZ12" si="1">BO13-BO11-BO10-BO9-BO8-BO7-BO6</f>
        <v>900</v>
      </c>
      <c r="BP12" s="11">
        <f t="shared" si="1"/>
        <v>64919</v>
      </c>
      <c r="BQ12" s="11">
        <f t="shared" si="1"/>
        <v>1712</v>
      </c>
      <c r="BR12" s="11">
        <f t="shared" si="1"/>
        <v>160173</v>
      </c>
      <c r="BS12" s="11">
        <f t="shared" si="1"/>
        <v>6027</v>
      </c>
      <c r="BT12" s="11">
        <f t="shared" si="1"/>
        <v>277164</v>
      </c>
      <c r="BU12" s="11">
        <f t="shared" si="1"/>
        <v>11105</v>
      </c>
      <c r="BV12" s="11">
        <f t="shared" si="1"/>
        <v>219457</v>
      </c>
      <c r="BW12" s="11">
        <f t="shared" si="1"/>
        <v>8695</v>
      </c>
      <c r="BX12" s="11">
        <f t="shared" si="1"/>
        <v>399492</v>
      </c>
      <c r="BY12" s="11">
        <f t="shared" si="1"/>
        <v>16579</v>
      </c>
      <c r="BZ12" s="11">
        <f t="shared" si="1"/>
        <v>0</v>
      </c>
      <c r="CA12" s="11">
        <f t="shared" si="1"/>
        <v>0</v>
      </c>
      <c r="CB12" s="11">
        <f t="shared" si="1"/>
        <v>0</v>
      </c>
      <c r="CC12" s="11">
        <f t="shared" si="1"/>
        <v>0</v>
      </c>
      <c r="CD12" s="11">
        <f t="shared" si="1"/>
        <v>0</v>
      </c>
      <c r="CE12" s="25">
        <f t="shared" si="1"/>
        <v>0</v>
      </c>
      <c r="CF12" s="11">
        <f t="shared" si="1"/>
        <v>0</v>
      </c>
      <c r="CG12" s="25">
        <f t="shared" si="1"/>
        <v>-1.0000000009313226E-2</v>
      </c>
      <c r="CH12" s="11">
        <f t="shared" si="1"/>
        <v>0</v>
      </c>
      <c r="CI12" s="11">
        <f t="shared" si="1"/>
        <v>0</v>
      </c>
      <c r="CJ12" s="11">
        <f t="shared" si="1"/>
        <v>0</v>
      </c>
      <c r="CK12" s="11">
        <f t="shared" si="1"/>
        <v>-1</v>
      </c>
      <c r="CL12" s="11">
        <f t="shared" si="1"/>
        <v>0</v>
      </c>
      <c r="CM12" s="11">
        <f t="shared" si="1"/>
        <v>0</v>
      </c>
      <c r="CN12" s="11">
        <f t="shared" si="1"/>
        <v>0</v>
      </c>
      <c r="CO12" s="11">
        <f t="shared" si="1"/>
        <v>0</v>
      </c>
      <c r="CP12" s="11">
        <f t="shared" si="1"/>
        <v>0</v>
      </c>
      <c r="CQ12" s="11">
        <f t="shared" si="1"/>
        <v>-7.0000000000254303E-2</v>
      </c>
      <c r="CR12" s="11">
        <f t="shared" si="1"/>
        <v>0</v>
      </c>
      <c r="CS12" s="11">
        <f t="shared" si="1"/>
        <v>-0.27999999999970271</v>
      </c>
      <c r="CT12" s="11">
        <f t="shared" si="1"/>
        <v>229140</v>
      </c>
      <c r="CU12" s="11">
        <f t="shared" si="1"/>
        <v>11659</v>
      </c>
      <c r="CV12" s="11">
        <f t="shared" si="1"/>
        <v>413593</v>
      </c>
      <c r="CW12" s="11">
        <f t="shared" si="1"/>
        <v>21992</v>
      </c>
      <c r="CX12" s="11">
        <f t="shared" si="1"/>
        <v>119</v>
      </c>
      <c r="CY12" s="11">
        <f t="shared" si="1"/>
        <v>15</v>
      </c>
      <c r="CZ12" s="11">
        <f t="shared" si="1"/>
        <v>365</v>
      </c>
      <c r="DA12" s="11">
        <f t="shared" si="1"/>
        <v>42</v>
      </c>
      <c r="DB12" s="11">
        <f t="shared" si="1"/>
        <v>0</v>
      </c>
      <c r="DC12" s="11">
        <f t="shared" si="1"/>
        <v>0</v>
      </c>
      <c r="DD12" s="11">
        <f t="shared" si="1"/>
        <v>0</v>
      </c>
      <c r="DE12" s="11">
        <f t="shared" si="1"/>
        <v>0</v>
      </c>
      <c r="DF12" s="11">
        <f t="shared" si="1"/>
        <v>0</v>
      </c>
      <c r="DG12" s="11">
        <f t="shared" si="1"/>
        <v>0</v>
      </c>
      <c r="DH12" s="11">
        <f t="shared" si="1"/>
        <v>0</v>
      </c>
      <c r="DI12" s="11">
        <f t="shared" si="1"/>
        <v>-1</v>
      </c>
      <c r="DJ12" s="11">
        <f t="shared" si="1"/>
        <v>0</v>
      </c>
      <c r="DK12" s="11">
        <f t="shared" si="1"/>
        <v>0.27999999999883585</v>
      </c>
      <c r="DL12" s="11">
        <f t="shared" si="1"/>
        <v>0</v>
      </c>
      <c r="DM12" s="11">
        <f t="shared" si="1"/>
        <v>-5.9999999997671694E-2</v>
      </c>
      <c r="DN12" s="11">
        <f t="shared" si="1"/>
        <v>10063</v>
      </c>
      <c r="DO12" s="11">
        <f t="shared" si="1"/>
        <v>92.224900000001071</v>
      </c>
      <c r="DP12" s="11">
        <f t="shared" si="1"/>
        <v>10063</v>
      </c>
      <c r="DQ12" s="11">
        <f t="shared" si="1"/>
        <v>92.245699999992212</v>
      </c>
      <c r="DR12" s="11">
        <f t="shared" si="1"/>
        <v>19035</v>
      </c>
      <c r="DS12" s="11">
        <f t="shared" si="1"/>
        <v>2483</v>
      </c>
      <c r="DT12" s="11">
        <f t="shared" si="1"/>
        <v>35979</v>
      </c>
      <c r="DU12" s="11">
        <f t="shared" si="1"/>
        <v>4652</v>
      </c>
      <c r="DV12" s="11">
        <f t="shared" si="1"/>
        <v>146263</v>
      </c>
      <c r="DW12" s="11">
        <f t="shared" si="1"/>
        <v>10259</v>
      </c>
      <c r="DX12" s="11">
        <f t="shared" si="1"/>
        <v>260561</v>
      </c>
      <c r="DY12" s="11">
        <f t="shared" si="1"/>
        <v>18930</v>
      </c>
      <c r="DZ12" s="11">
        <f t="shared" si="1"/>
        <v>30062</v>
      </c>
      <c r="EA12" s="11">
        <f t="shared" ref="EA12:EG12" si="2">EA13-EA11-EA10-EA9-EA8-EA7-EA6</f>
        <v>8950</v>
      </c>
      <c r="EB12" s="11">
        <f t="shared" si="2"/>
        <v>76420</v>
      </c>
      <c r="EC12" s="11">
        <f t="shared" si="2"/>
        <v>30536</v>
      </c>
      <c r="ED12" s="11">
        <f t="shared" si="2"/>
        <v>0</v>
      </c>
      <c r="EE12" s="11">
        <f t="shared" si="2"/>
        <v>-1</v>
      </c>
      <c r="EF12" s="11">
        <f t="shared" si="2"/>
        <v>0</v>
      </c>
      <c r="EG12" s="11">
        <f t="shared" si="2"/>
        <v>1</v>
      </c>
    </row>
    <row r="13" spans="1:137" s="9" customFormat="1" x14ac:dyDescent="0.25">
      <c r="A13" s="12" t="s">
        <v>135</v>
      </c>
      <c r="B13" s="12">
        <v>300140</v>
      </c>
      <c r="C13" s="12">
        <v>9849.56</v>
      </c>
      <c r="D13" s="12">
        <v>453814</v>
      </c>
      <c r="E13" s="12">
        <v>16543</v>
      </c>
      <c r="F13" s="12">
        <v>87566</v>
      </c>
      <c r="G13" s="12">
        <v>17177</v>
      </c>
      <c r="H13" s="12">
        <v>161445</v>
      </c>
      <c r="I13" s="12">
        <v>31487</v>
      </c>
      <c r="J13" s="12">
        <v>15780753</v>
      </c>
      <c r="K13" s="43">
        <v>628094.06999999995</v>
      </c>
      <c r="L13" s="12">
        <v>15886620</v>
      </c>
      <c r="M13" s="43">
        <v>637861.55000000005</v>
      </c>
      <c r="N13" s="12">
        <v>434574</v>
      </c>
      <c r="O13" s="12">
        <v>57590</v>
      </c>
      <c r="P13" s="12">
        <v>691302</v>
      </c>
      <c r="Q13" s="12">
        <v>106251</v>
      </c>
      <c r="R13" s="12">
        <v>7616701</v>
      </c>
      <c r="S13" s="12">
        <v>426310</v>
      </c>
      <c r="T13" s="12">
        <v>13545143</v>
      </c>
      <c r="U13" s="12">
        <v>708605</v>
      </c>
      <c r="V13" s="12">
        <v>1180110</v>
      </c>
      <c r="W13" s="12">
        <v>99236</v>
      </c>
      <c r="X13" s="12">
        <v>2249815</v>
      </c>
      <c r="Y13" s="12">
        <v>157068</v>
      </c>
      <c r="Z13" s="12">
        <v>1119113</v>
      </c>
      <c r="AA13" s="12">
        <v>108839</v>
      </c>
      <c r="AB13" s="12">
        <v>2109275</v>
      </c>
      <c r="AC13" s="12">
        <v>218925</v>
      </c>
      <c r="AD13" s="12">
        <v>61883</v>
      </c>
      <c r="AE13" s="12">
        <v>12693</v>
      </c>
      <c r="AF13" s="12">
        <v>113139</v>
      </c>
      <c r="AG13" s="12">
        <v>25290</v>
      </c>
      <c r="AH13" s="12">
        <v>236990</v>
      </c>
      <c r="AI13" s="12">
        <v>6503</v>
      </c>
      <c r="AJ13" s="12">
        <v>327149</v>
      </c>
      <c r="AK13" s="12">
        <v>10651</v>
      </c>
      <c r="AL13" s="12">
        <v>11548</v>
      </c>
      <c r="AM13" s="12">
        <v>3337.71</v>
      </c>
      <c r="AN13" s="12">
        <v>20671</v>
      </c>
      <c r="AO13" s="12">
        <v>5152.24</v>
      </c>
      <c r="AP13" s="12">
        <v>1390</v>
      </c>
      <c r="AQ13" s="12">
        <v>10888</v>
      </c>
      <c r="AR13" s="12">
        <v>2557</v>
      </c>
      <c r="AS13" s="12">
        <v>20055</v>
      </c>
      <c r="AT13" s="12">
        <v>568754</v>
      </c>
      <c r="AU13" s="43">
        <v>84021.73</v>
      </c>
      <c r="AV13" s="12">
        <v>1044814</v>
      </c>
      <c r="AW13" s="43">
        <v>142426.56</v>
      </c>
      <c r="AX13" s="12">
        <v>50220</v>
      </c>
      <c r="AY13" s="12">
        <v>1519055</v>
      </c>
      <c r="AZ13" s="12">
        <v>88126</v>
      </c>
      <c r="BA13" s="12">
        <v>2532926</v>
      </c>
      <c r="BB13" s="12">
        <v>2928347</v>
      </c>
      <c r="BC13" s="12">
        <v>327407.90000000002</v>
      </c>
      <c r="BD13" s="12">
        <v>5086257</v>
      </c>
      <c r="BE13" s="12">
        <v>505055.5</v>
      </c>
      <c r="BF13" s="12">
        <v>6756514</v>
      </c>
      <c r="BG13" s="12">
        <v>295263</v>
      </c>
      <c r="BH13" s="12">
        <v>12744758</v>
      </c>
      <c r="BI13" s="12">
        <v>643951</v>
      </c>
      <c r="BJ13" s="12">
        <v>1891015</v>
      </c>
      <c r="BK13" s="43">
        <v>228956.76</v>
      </c>
      <c r="BL13" s="12">
        <v>3524668</v>
      </c>
      <c r="BM13" s="43">
        <v>418019.29</v>
      </c>
      <c r="BN13" s="12">
        <v>441700</v>
      </c>
      <c r="BO13" s="12">
        <v>10067</v>
      </c>
      <c r="BP13" s="12">
        <v>712846</v>
      </c>
      <c r="BQ13" s="12">
        <v>18272</v>
      </c>
      <c r="BR13" s="12">
        <v>742836</v>
      </c>
      <c r="BS13" s="12">
        <v>34001</v>
      </c>
      <c r="BT13" s="12">
        <v>1289691</v>
      </c>
      <c r="BU13" s="12">
        <v>71104</v>
      </c>
      <c r="BV13" s="12">
        <v>403896</v>
      </c>
      <c r="BW13" s="12">
        <v>28901</v>
      </c>
      <c r="BX13" s="12">
        <v>746406</v>
      </c>
      <c r="BY13" s="12">
        <v>55472</v>
      </c>
      <c r="BZ13" s="12">
        <v>110827</v>
      </c>
      <c r="CA13" s="12">
        <v>28121</v>
      </c>
      <c r="CB13" s="12">
        <v>209573</v>
      </c>
      <c r="CC13" s="12">
        <v>53167</v>
      </c>
      <c r="CD13" s="12">
        <v>3807643</v>
      </c>
      <c r="CE13" s="43">
        <v>380903.74</v>
      </c>
      <c r="CF13" s="12">
        <v>7046912</v>
      </c>
      <c r="CG13" s="43">
        <v>688223.89</v>
      </c>
      <c r="CH13" s="12"/>
      <c r="CI13" s="12"/>
      <c r="CJ13" s="12">
        <v>8739903</v>
      </c>
      <c r="CK13" s="12">
        <v>720325</v>
      </c>
      <c r="CL13" s="12"/>
      <c r="CM13" s="12"/>
      <c r="CN13" s="12"/>
      <c r="CO13" s="12"/>
      <c r="CP13" s="12">
        <v>13558</v>
      </c>
      <c r="CQ13" s="12">
        <v>3511</v>
      </c>
      <c r="CR13" s="12">
        <v>20584</v>
      </c>
      <c r="CS13" s="12">
        <v>6000</v>
      </c>
      <c r="CT13" s="12">
        <v>1572963</v>
      </c>
      <c r="CU13" s="12">
        <v>247378</v>
      </c>
      <c r="CV13" s="12">
        <v>3013605</v>
      </c>
      <c r="CW13" s="12">
        <v>444501</v>
      </c>
      <c r="CX13" s="12">
        <v>1962</v>
      </c>
      <c r="CY13" s="12">
        <v>261</v>
      </c>
      <c r="CZ13" s="12">
        <v>5107</v>
      </c>
      <c r="DA13" s="12">
        <v>615</v>
      </c>
      <c r="DB13" s="12">
        <v>243576</v>
      </c>
      <c r="DC13" s="12">
        <v>56101</v>
      </c>
      <c r="DD13" s="12">
        <v>453380</v>
      </c>
      <c r="DE13" s="12">
        <v>113641</v>
      </c>
      <c r="DF13" s="12">
        <v>508809</v>
      </c>
      <c r="DG13" s="12">
        <v>107586</v>
      </c>
      <c r="DH13" s="12">
        <v>927868</v>
      </c>
      <c r="DI13" s="12">
        <v>179370</v>
      </c>
      <c r="DJ13" s="12">
        <v>2341704</v>
      </c>
      <c r="DK13" s="12">
        <v>183626.28</v>
      </c>
      <c r="DL13" s="12">
        <v>3169859</v>
      </c>
      <c r="DM13" s="12">
        <v>311297.94</v>
      </c>
      <c r="DN13" s="12">
        <v>889289</v>
      </c>
      <c r="DO13" s="12">
        <v>63168.084900000002</v>
      </c>
      <c r="DP13" s="12">
        <v>1570513</v>
      </c>
      <c r="DQ13" s="12">
        <v>117671.1957</v>
      </c>
      <c r="DR13" s="12">
        <v>1199010</v>
      </c>
      <c r="DS13" s="12">
        <v>157472</v>
      </c>
      <c r="DT13" s="12">
        <v>2098716</v>
      </c>
      <c r="DU13" s="12">
        <v>273559</v>
      </c>
      <c r="DV13" s="12">
        <v>2840688</v>
      </c>
      <c r="DW13" s="12">
        <v>180643</v>
      </c>
      <c r="DX13" s="12">
        <v>5344766</v>
      </c>
      <c r="DY13" s="12">
        <v>396148</v>
      </c>
      <c r="DZ13" s="12">
        <v>4486159</v>
      </c>
      <c r="EA13" s="12">
        <v>427088</v>
      </c>
      <c r="EB13" s="12">
        <v>8531924</v>
      </c>
      <c r="EC13" s="12">
        <v>796661</v>
      </c>
      <c r="ED13" s="12">
        <v>348284</v>
      </c>
      <c r="EE13" s="12">
        <v>83272</v>
      </c>
      <c r="EF13" s="12">
        <v>647842</v>
      </c>
      <c r="EG13" s="12">
        <v>119167</v>
      </c>
    </row>
    <row r="14" spans="1:137" x14ac:dyDescent="0.25">
      <c r="A14" s="11" t="s">
        <v>136</v>
      </c>
      <c r="B14" s="11"/>
      <c r="C14" s="11"/>
      <c r="D14" s="11"/>
      <c r="E14" s="11"/>
      <c r="F14" s="11"/>
      <c r="G14" s="11"/>
      <c r="H14" s="11"/>
      <c r="I14" s="11"/>
      <c r="J14" s="11"/>
      <c r="K14" s="25"/>
      <c r="L14" s="11"/>
      <c r="M14" s="25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25">
        <v>0.05</v>
      </c>
      <c r="AV14" s="11"/>
      <c r="AW14" s="25">
        <v>0.05</v>
      </c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25">
        <v>-0.05</v>
      </c>
      <c r="BL14" s="11"/>
      <c r="BM14" s="25">
        <v>-0.1</v>
      </c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25"/>
      <c r="CF14" s="11"/>
      <c r="CG14" s="25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>
        <v>444</v>
      </c>
      <c r="DK14" s="11">
        <v>53</v>
      </c>
      <c r="DL14" s="11">
        <v>960</v>
      </c>
      <c r="DM14" s="11">
        <v>112</v>
      </c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</row>
    <row r="15" spans="1:137" s="9" customFormat="1" x14ac:dyDescent="0.25">
      <c r="A15" s="12" t="s">
        <v>137</v>
      </c>
      <c r="B15" s="12">
        <f>B13+B14</f>
        <v>300140</v>
      </c>
      <c r="C15" s="12">
        <f t="shared" ref="C15:BN15" si="3">C13+C14</f>
        <v>9849.56</v>
      </c>
      <c r="D15" s="12">
        <f t="shared" si="3"/>
        <v>453814</v>
      </c>
      <c r="E15" s="12">
        <f t="shared" si="3"/>
        <v>16543</v>
      </c>
      <c r="F15" s="12">
        <f t="shared" si="3"/>
        <v>87566</v>
      </c>
      <c r="G15" s="12">
        <f t="shared" si="3"/>
        <v>17177</v>
      </c>
      <c r="H15" s="12">
        <f t="shared" si="3"/>
        <v>161445</v>
      </c>
      <c r="I15" s="12">
        <f t="shared" si="3"/>
        <v>31487</v>
      </c>
      <c r="J15" s="12">
        <f t="shared" si="3"/>
        <v>15780753</v>
      </c>
      <c r="K15" s="43">
        <f t="shared" si="3"/>
        <v>628094.06999999995</v>
      </c>
      <c r="L15" s="12">
        <f t="shared" si="3"/>
        <v>15886620</v>
      </c>
      <c r="M15" s="43">
        <f t="shared" si="3"/>
        <v>637861.55000000005</v>
      </c>
      <c r="N15" s="12">
        <f t="shared" si="3"/>
        <v>434574</v>
      </c>
      <c r="O15" s="12">
        <f t="shared" si="3"/>
        <v>57590</v>
      </c>
      <c r="P15" s="12">
        <f t="shared" si="3"/>
        <v>691302</v>
      </c>
      <c r="Q15" s="12">
        <f t="shared" si="3"/>
        <v>106251</v>
      </c>
      <c r="R15" s="12">
        <f t="shared" si="3"/>
        <v>7616701</v>
      </c>
      <c r="S15" s="12">
        <f t="shared" si="3"/>
        <v>426310</v>
      </c>
      <c r="T15" s="12">
        <f t="shared" si="3"/>
        <v>13545143</v>
      </c>
      <c r="U15" s="12">
        <f t="shared" si="3"/>
        <v>708605</v>
      </c>
      <c r="V15" s="12">
        <f t="shared" si="3"/>
        <v>1180110</v>
      </c>
      <c r="W15" s="12">
        <f t="shared" si="3"/>
        <v>99236</v>
      </c>
      <c r="X15" s="12">
        <f t="shared" si="3"/>
        <v>2249815</v>
      </c>
      <c r="Y15" s="12">
        <f t="shared" si="3"/>
        <v>157068</v>
      </c>
      <c r="Z15" s="12">
        <f t="shared" si="3"/>
        <v>1119113</v>
      </c>
      <c r="AA15" s="12">
        <f t="shared" si="3"/>
        <v>108839</v>
      </c>
      <c r="AB15" s="12">
        <f t="shared" si="3"/>
        <v>2109275</v>
      </c>
      <c r="AC15" s="12">
        <f t="shared" si="3"/>
        <v>218925</v>
      </c>
      <c r="AD15" s="12">
        <f t="shared" si="3"/>
        <v>61883</v>
      </c>
      <c r="AE15" s="12">
        <f t="shared" si="3"/>
        <v>12693</v>
      </c>
      <c r="AF15" s="12">
        <f t="shared" si="3"/>
        <v>113139</v>
      </c>
      <c r="AG15" s="12">
        <f t="shared" si="3"/>
        <v>25290</v>
      </c>
      <c r="AH15" s="12">
        <f t="shared" si="3"/>
        <v>236990</v>
      </c>
      <c r="AI15" s="12">
        <f t="shared" si="3"/>
        <v>6503</v>
      </c>
      <c r="AJ15" s="12">
        <f t="shared" si="3"/>
        <v>327149</v>
      </c>
      <c r="AK15" s="12">
        <f t="shared" si="3"/>
        <v>10651</v>
      </c>
      <c r="AL15" s="12">
        <f t="shared" si="3"/>
        <v>11548</v>
      </c>
      <c r="AM15" s="12">
        <f t="shared" si="3"/>
        <v>3337.71</v>
      </c>
      <c r="AN15" s="12">
        <f t="shared" si="3"/>
        <v>20671</v>
      </c>
      <c r="AO15" s="12">
        <f t="shared" si="3"/>
        <v>5152.24</v>
      </c>
      <c r="AP15" s="12">
        <f t="shared" si="3"/>
        <v>1390</v>
      </c>
      <c r="AQ15" s="12">
        <f t="shared" si="3"/>
        <v>10888</v>
      </c>
      <c r="AR15" s="12">
        <f t="shared" si="3"/>
        <v>2557</v>
      </c>
      <c r="AS15" s="12">
        <f t="shared" si="3"/>
        <v>20055</v>
      </c>
      <c r="AT15" s="12">
        <f t="shared" si="3"/>
        <v>568754</v>
      </c>
      <c r="AU15" s="43">
        <f t="shared" si="3"/>
        <v>84021.78</v>
      </c>
      <c r="AV15" s="12">
        <f t="shared" si="3"/>
        <v>1044814</v>
      </c>
      <c r="AW15" s="43">
        <f t="shared" si="3"/>
        <v>142426.60999999999</v>
      </c>
      <c r="AX15" s="12">
        <f t="shared" si="3"/>
        <v>50220</v>
      </c>
      <c r="AY15" s="12">
        <f t="shared" si="3"/>
        <v>1519055</v>
      </c>
      <c r="AZ15" s="12">
        <f t="shared" si="3"/>
        <v>88126</v>
      </c>
      <c r="BA15" s="12">
        <f t="shared" si="3"/>
        <v>2532926</v>
      </c>
      <c r="BB15" s="12">
        <f t="shared" si="3"/>
        <v>2928347</v>
      </c>
      <c r="BC15" s="12">
        <f t="shared" si="3"/>
        <v>327407.90000000002</v>
      </c>
      <c r="BD15" s="12">
        <f t="shared" si="3"/>
        <v>5086257</v>
      </c>
      <c r="BE15" s="12">
        <f t="shared" si="3"/>
        <v>505055.5</v>
      </c>
      <c r="BF15" s="12">
        <f t="shared" si="3"/>
        <v>6756514</v>
      </c>
      <c r="BG15" s="12">
        <f t="shared" si="3"/>
        <v>295263</v>
      </c>
      <c r="BH15" s="12">
        <f t="shared" si="3"/>
        <v>12744758</v>
      </c>
      <c r="BI15" s="12">
        <f t="shared" si="3"/>
        <v>643951</v>
      </c>
      <c r="BJ15" s="12">
        <f t="shared" si="3"/>
        <v>1891015</v>
      </c>
      <c r="BK15" s="43">
        <f t="shared" si="3"/>
        <v>228956.71000000002</v>
      </c>
      <c r="BL15" s="12">
        <f t="shared" si="3"/>
        <v>3524668</v>
      </c>
      <c r="BM15" s="43">
        <f t="shared" si="3"/>
        <v>418019.19</v>
      </c>
      <c r="BN15" s="12">
        <f t="shared" si="3"/>
        <v>441700</v>
      </c>
      <c r="BO15" s="12">
        <f t="shared" ref="BO15:DZ15" si="4">BO13+BO14</f>
        <v>10067</v>
      </c>
      <c r="BP15" s="12">
        <f t="shared" si="4"/>
        <v>712846</v>
      </c>
      <c r="BQ15" s="12">
        <f t="shared" si="4"/>
        <v>18272</v>
      </c>
      <c r="BR15" s="12">
        <f t="shared" si="4"/>
        <v>742836</v>
      </c>
      <c r="BS15" s="12">
        <f t="shared" si="4"/>
        <v>34001</v>
      </c>
      <c r="BT15" s="12">
        <f t="shared" si="4"/>
        <v>1289691</v>
      </c>
      <c r="BU15" s="12">
        <f t="shared" si="4"/>
        <v>71104</v>
      </c>
      <c r="BV15" s="12">
        <f t="shared" si="4"/>
        <v>403896</v>
      </c>
      <c r="BW15" s="12">
        <f t="shared" si="4"/>
        <v>28901</v>
      </c>
      <c r="BX15" s="12">
        <f t="shared" si="4"/>
        <v>746406</v>
      </c>
      <c r="BY15" s="12">
        <f t="shared" si="4"/>
        <v>55472</v>
      </c>
      <c r="BZ15" s="12">
        <f t="shared" si="4"/>
        <v>110827</v>
      </c>
      <c r="CA15" s="12">
        <f t="shared" si="4"/>
        <v>28121</v>
      </c>
      <c r="CB15" s="12">
        <f t="shared" si="4"/>
        <v>209573</v>
      </c>
      <c r="CC15" s="12">
        <f t="shared" si="4"/>
        <v>53167</v>
      </c>
      <c r="CD15" s="12">
        <f t="shared" si="4"/>
        <v>3807643</v>
      </c>
      <c r="CE15" s="43">
        <f t="shared" si="4"/>
        <v>380903.74</v>
      </c>
      <c r="CF15" s="12">
        <f t="shared" si="4"/>
        <v>7046912</v>
      </c>
      <c r="CG15" s="43">
        <f t="shared" si="4"/>
        <v>688223.89</v>
      </c>
      <c r="CH15" s="12">
        <f t="shared" si="4"/>
        <v>0</v>
      </c>
      <c r="CI15" s="12">
        <f t="shared" si="4"/>
        <v>0</v>
      </c>
      <c r="CJ15" s="12">
        <f t="shared" si="4"/>
        <v>8739903</v>
      </c>
      <c r="CK15" s="12">
        <f t="shared" si="4"/>
        <v>720325</v>
      </c>
      <c r="CL15" s="12">
        <f t="shared" si="4"/>
        <v>0</v>
      </c>
      <c r="CM15" s="12">
        <f t="shared" si="4"/>
        <v>0</v>
      </c>
      <c r="CN15" s="12">
        <f t="shared" si="4"/>
        <v>0</v>
      </c>
      <c r="CO15" s="12">
        <f t="shared" si="4"/>
        <v>0</v>
      </c>
      <c r="CP15" s="12">
        <f t="shared" si="4"/>
        <v>13558</v>
      </c>
      <c r="CQ15" s="12">
        <f t="shared" si="4"/>
        <v>3511</v>
      </c>
      <c r="CR15" s="12">
        <f t="shared" si="4"/>
        <v>20584</v>
      </c>
      <c r="CS15" s="12">
        <f t="shared" si="4"/>
        <v>6000</v>
      </c>
      <c r="CT15" s="12">
        <f t="shared" si="4"/>
        <v>1572963</v>
      </c>
      <c r="CU15" s="12">
        <f t="shared" si="4"/>
        <v>247378</v>
      </c>
      <c r="CV15" s="12">
        <f t="shared" si="4"/>
        <v>3013605</v>
      </c>
      <c r="CW15" s="12">
        <f t="shared" si="4"/>
        <v>444501</v>
      </c>
      <c r="CX15" s="12">
        <f t="shared" si="4"/>
        <v>1962</v>
      </c>
      <c r="CY15" s="12">
        <f t="shared" si="4"/>
        <v>261</v>
      </c>
      <c r="CZ15" s="12">
        <f t="shared" si="4"/>
        <v>5107</v>
      </c>
      <c r="DA15" s="12">
        <f t="shared" si="4"/>
        <v>615</v>
      </c>
      <c r="DB15" s="12">
        <f t="shared" si="4"/>
        <v>243576</v>
      </c>
      <c r="DC15" s="12">
        <f t="shared" si="4"/>
        <v>56101</v>
      </c>
      <c r="DD15" s="12">
        <f t="shared" si="4"/>
        <v>453380</v>
      </c>
      <c r="DE15" s="12">
        <f t="shared" si="4"/>
        <v>113641</v>
      </c>
      <c r="DF15" s="12">
        <f t="shared" si="4"/>
        <v>508809</v>
      </c>
      <c r="DG15" s="12">
        <f t="shared" si="4"/>
        <v>107586</v>
      </c>
      <c r="DH15" s="12">
        <f t="shared" si="4"/>
        <v>927868</v>
      </c>
      <c r="DI15" s="12">
        <f t="shared" si="4"/>
        <v>179370</v>
      </c>
      <c r="DJ15" s="12">
        <f t="shared" si="4"/>
        <v>2342148</v>
      </c>
      <c r="DK15" s="12">
        <f t="shared" si="4"/>
        <v>183679.28</v>
      </c>
      <c r="DL15" s="12">
        <f t="shared" si="4"/>
        <v>3170819</v>
      </c>
      <c r="DM15" s="12">
        <f t="shared" si="4"/>
        <v>311409.94</v>
      </c>
      <c r="DN15" s="12">
        <f t="shared" si="4"/>
        <v>889289</v>
      </c>
      <c r="DO15" s="12">
        <f t="shared" si="4"/>
        <v>63168.084900000002</v>
      </c>
      <c r="DP15" s="12">
        <f t="shared" si="4"/>
        <v>1570513</v>
      </c>
      <c r="DQ15" s="12">
        <f t="shared" si="4"/>
        <v>117671.1957</v>
      </c>
      <c r="DR15" s="12">
        <f t="shared" si="4"/>
        <v>1199010</v>
      </c>
      <c r="DS15" s="12">
        <f t="shared" si="4"/>
        <v>157472</v>
      </c>
      <c r="DT15" s="12">
        <f t="shared" si="4"/>
        <v>2098716</v>
      </c>
      <c r="DU15" s="12">
        <f t="shared" si="4"/>
        <v>273559</v>
      </c>
      <c r="DV15" s="12">
        <f t="shared" si="4"/>
        <v>2840688</v>
      </c>
      <c r="DW15" s="12">
        <f t="shared" si="4"/>
        <v>180643</v>
      </c>
      <c r="DX15" s="12">
        <f t="shared" si="4"/>
        <v>5344766</v>
      </c>
      <c r="DY15" s="12">
        <f t="shared" si="4"/>
        <v>396148</v>
      </c>
      <c r="DZ15" s="12">
        <f t="shared" si="4"/>
        <v>4486159</v>
      </c>
      <c r="EA15" s="12">
        <f t="shared" ref="EA15:EG15" si="5">EA13+EA14</f>
        <v>427088</v>
      </c>
      <c r="EB15" s="12">
        <f t="shared" si="5"/>
        <v>8531924</v>
      </c>
      <c r="EC15" s="12">
        <f t="shared" si="5"/>
        <v>796661</v>
      </c>
      <c r="ED15" s="12">
        <f t="shared" si="5"/>
        <v>348284</v>
      </c>
      <c r="EE15" s="12">
        <f t="shared" si="5"/>
        <v>83272</v>
      </c>
      <c r="EF15" s="12">
        <f t="shared" si="5"/>
        <v>647842</v>
      </c>
      <c r="EG15" s="12">
        <f t="shared" si="5"/>
        <v>119167</v>
      </c>
    </row>
  </sheetData>
  <mergeCells count="102">
    <mergeCell ref="AD3:AG3"/>
    <mergeCell ref="AH3:AK3"/>
    <mergeCell ref="AL3:AO3"/>
    <mergeCell ref="DN3:DQ3"/>
    <mergeCell ref="CD3:CG3"/>
    <mergeCell ref="CH3:CK3"/>
    <mergeCell ref="CL3:CO3"/>
    <mergeCell ref="CP3:CS3"/>
    <mergeCell ref="V4:W4"/>
    <mergeCell ref="V3:Y3"/>
    <mergeCell ref="X4:Y4"/>
    <mergeCell ref="AP3:AS3"/>
    <mergeCell ref="AT3:AW3"/>
    <mergeCell ref="AX3:BA3"/>
    <mergeCell ref="BB3:BE3"/>
    <mergeCell ref="BF3:BI3"/>
    <mergeCell ref="AJ4:AK4"/>
    <mergeCell ref="AL4:AM4"/>
    <mergeCell ref="AN4:AO4"/>
    <mergeCell ref="AP4:AQ4"/>
    <mergeCell ref="AR4:AS4"/>
    <mergeCell ref="Z4:AA4"/>
    <mergeCell ref="AB4:AC4"/>
    <mergeCell ref="AD4:AE4"/>
    <mergeCell ref="B3:E3"/>
    <mergeCell ref="F3:I3"/>
    <mergeCell ref="J3:M3"/>
    <mergeCell ref="N3:Q3"/>
    <mergeCell ref="R3:U3"/>
    <mergeCell ref="Z3:AC3"/>
    <mergeCell ref="DN4:DO4"/>
    <mergeCell ref="DP4:DQ4"/>
    <mergeCell ref="CT3:CW3"/>
    <mergeCell ref="CT4:CU4"/>
    <mergeCell ref="CV4:CW4"/>
    <mergeCell ref="CX3:DA3"/>
    <mergeCell ref="DB3:DE3"/>
    <mergeCell ref="DF3:DI3"/>
    <mergeCell ref="DJ3:DM3"/>
    <mergeCell ref="DF4:DG4"/>
    <mergeCell ref="DH4:DI4"/>
    <mergeCell ref="DJ4:DK4"/>
    <mergeCell ref="DL4:DM4"/>
    <mergeCell ref="BJ3:BM3"/>
    <mergeCell ref="BN3:BQ3"/>
    <mergeCell ref="BR3:BU3"/>
    <mergeCell ref="BV3:BY3"/>
    <mergeCell ref="BZ3:CC3"/>
    <mergeCell ref="DR3:DU3"/>
    <mergeCell ref="DV3:DY3"/>
    <mergeCell ref="DZ3:EC3"/>
    <mergeCell ref="ED3:EG3"/>
    <mergeCell ref="ED4:EE4"/>
    <mergeCell ref="EF4:EG4"/>
    <mergeCell ref="EB4:EC4"/>
    <mergeCell ref="DZ4:EA4"/>
    <mergeCell ref="DT4:DU4"/>
    <mergeCell ref="DV4:DW4"/>
    <mergeCell ref="DX4:DY4"/>
    <mergeCell ref="DR4:DS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F4:AG4"/>
    <mergeCell ref="AH4:AI4"/>
    <mergeCell ref="BD4:BE4"/>
    <mergeCell ref="BF4:BG4"/>
    <mergeCell ref="BH4:BI4"/>
    <mergeCell ref="BJ4:BK4"/>
    <mergeCell ref="BL4:BM4"/>
    <mergeCell ref="AT4:AU4"/>
    <mergeCell ref="AV4:AW4"/>
    <mergeCell ref="AX4:AY4"/>
    <mergeCell ref="AZ4:BA4"/>
    <mergeCell ref="BB4:BC4"/>
    <mergeCell ref="BX4:BY4"/>
    <mergeCell ref="BZ4:CA4"/>
    <mergeCell ref="CB4:CC4"/>
    <mergeCell ref="CD4:CE4"/>
    <mergeCell ref="CF4:CG4"/>
    <mergeCell ref="BN4:BO4"/>
    <mergeCell ref="BP4:BQ4"/>
    <mergeCell ref="BR4:BS4"/>
    <mergeCell ref="BT4:BU4"/>
    <mergeCell ref="BV4:BW4"/>
    <mergeCell ref="CR4:CS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69" width="16" style="8" customWidth="1"/>
    <col min="70" max="71" width="16" style="46" customWidth="1"/>
    <col min="72" max="16384" width="9.140625" style="8"/>
  </cols>
  <sheetData>
    <row r="1" spans="1:71" ht="18.75" x14ac:dyDescent="0.3">
      <c r="A1" s="18" t="s">
        <v>297</v>
      </c>
    </row>
    <row r="2" spans="1:71" x14ac:dyDescent="0.25">
      <c r="A2" s="7" t="s">
        <v>48</v>
      </c>
    </row>
    <row r="3" spans="1:71" x14ac:dyDescent="0.25">
      <c r="A3" s="4" t="s">
        <v>0</v>
      </c>
      <c r="B3" s="105" t="s">
        <v>1</v>
      </c>
      <c r="C3" s="106"/>
      <c r="D3" s="105" t="s">
        <v>2</v>
      </c>
      <c r="E3" s="106"/>
      <c r="F3" s="105" t="s">
        <v>3</v>
      </c>
      <c r="G3" s="106"/>
      <c r="H3" s="105" t="s">
        <v>4</v>
      </c>
      <c r="I3" s="106"/>
      <c r="J3" s="105" t="s">
        <v>5</v>
      </c>
      <c r="K3" s="106"/>
      <c r="L3" s="105" t="s">
        <v>6</v>
      </c>
      <c r="M3" s="106"/>
      <c r="N3" s="105" t="s">
        <v>7</v>
      </c>
      <c r="O3" s="106"/>
      <c r="P3" s="105" t="s">
        <v>8</v>
      </c>
      <c r="Q3" s="106"/>
      <c r="R3" s="105" t="s">
        <v>9</v>
      </c>
      <c r="S3" s="106"/>
      <c r="T3" s="105" t="s">
        <v>10</v>
      </c>
      <c r="U3" s="106"/>
      <c r="V3" s="105" t="s">
        <v>11</v>
      </c>
      <c r="W3" s="106"/>
      <c r="X3" s="105" t="s">
        <v>12</v>
      </c>
      <c r="Y3" s="106"/>
      <c r="Z3" s="105" t="s">
        <v>13</v>
      </c>
      <c r="AA3" s="106"/>
      <c r="AB3" s="105" t="s">
        <v>14</v>
      </c>
      <c r="AC3" s="106"/>
      <c r="AD3" s="105" t="s">
        <v>15</v>
      </c>
      <c r="AE3" s="106"/>
      <c r="AF3" s="105" t="s">
        <v>16</v>
      </c>
      <c r="AG3" s="106"/>
      <c r="AH3" s="105" t="s">
        <v>17</v>
      </c>
      <c r="AI3" s="106"/>
      <c r="AJ3" s="105" t="s">
        <v>18</v>
      </c>
      <c r="AK3" s="106"/>
      <c r="AL3" s="105" t="s">
        <v>19</v>
      </c>
      <c r="AM3" s="106"/>
      <c r="AN3" s="105" t="s">
        <v>20</v>
      </c>
      <c r="AO3" s="106"/>
      <c r="AP3" s="105" t="s">
        <v>21</v>
      </c>
      <c r="AQ3" s="106"/>
      <c r="AR3" s="105" t="s">
        <v>22</v>
      </c>
      <c r="AS3" s="106"/>
      <c r="AT3" s="105" t="s">
        <v>23</v>
      </c>
      <c r="AU3" s="106"/>
      <c r="AV3" s="105" t="s">
        <v>24</v>
      </c>
      <c r="AW3" s="106"/>
      <c r="AX3" s="105" t="s">
        <v>25</v>
      </c>
      <c r="AY3" s="106"/>
      <c r="AZ3" s="105" t="s">
        <v>26</v>
      </c>
      <c r="BA3" s="106"/>
      <c r="BB3" s="105" t="s">
        <v>27</v>
      </c>
      <c r="BC3" s="106"/>
      <c r="BD3" s="105" t="s">
        <v>28</v>
      </c>
      <c r="BE3" s="106"/>
      <c r="BF3" s="105" t="s">
        <v>29</v>
      </c>
      <c r="BG3" s="106"/>
      <c r="BH3" s="105" t="s">
        <v>30</v>
      </c>
      <c r="BI3" s="106"/>
      <c r="BJ3" s="105" t="s">
        <v>31</v>
      </c>
      <c r="BK3" s="106"/>
      <c r="BL3" s="105" t="s">
        <v>32</v>
      </c>
      <c r="BM3" s="106"/>
      <c r="BN3" s="109" t="s">
        <v>33</v>
      </c>
      <c r="BO3" s="110"/>
      <c r="BP3" s="105" t="s">
        <v>34</v>
      </c>
      <c r="BQ3" s="106"/>
      <c r="BR3" s="107" t="s">
        <v>35</v>
      </c>
      <c r="BS3" s="108"/>
    </row>
    <row r="4" spans="1:71" ht="30" x14ac:dyDescent="0.25">
      <c r="A4" s="4"/>
      <c r="B4" s="76" t="s">
        <v>295</v>
      </c>
      <c r="C4" s="77" t="s">
        <v>296</v>
      </c>
      <c r="D4" s="76" t="s">
        <v>295</v>
      </c>
      <c r="E4" s="77" t="s">
        <v>296</v>
      </c>
      <c r="F4" s="76" t="s">
        <v>295</v>
      </c>
      <c r="G4" s="77" t="s">
        <v>296</v>
      </c>
      <c r="H4" s="76" t="s">
        <v>295</v>
      </c>
      <c r="I4" s="77" t="s">
        <v>296</v>
      </c>
      <c r="J4" s="76" t="s">
        <v>295</v>
      </c>
      <c r="K4" s="77" t="s">
        <v>296</v>
      </c>
      <c r="L4" s="76" t="s">
        <v>295</v>
      </c>
      <c r="M4" s="77" t="s">
        <v>296</v>
      </c>
      <c r="N4" s="76" t="s">
        <v>295</v>
      </c>
      <c r="O4" s="77" t="s">
        <v>296</v>
      </c>
      <c r="P4" s="76" t="s">
        <v>295</v>
      </c>
      <c r="Q4" s="77" t="s">
        <v>296</v>
      </c>
      <c r="R4" s="76" t="s">
        <v>295</v>
      </c>
      <c r="S4" s="77" t="s">
        <v>296</v>
      </c>
      <c r="T4" s="76" t="s">
        <v>295</v>
      </c>
      <c r="U4" s="77" t="s">
        <v>296</v>
      </c>
      <c r="V4" s="76" t="s">
        <v>295</v>
      </c>
      <c r="W4" s="77" t="s">
        <v>296</v>
      </c>
      <c r="X4" s="76" t="s">
        <v>295</v>
      </c>
      <c r="Y4" s="77" t="s">
        <v>296</v>
      </c>
      <c r="Z4" s="76" t="s">
        <v>295</v>
      </c>
      <c r="AA4" s="77" t="s">
        <v>296</v>
      </c>
      <c r="AB4" s="76" t="s">
        <v>295</v>
      </c>
      <c r="AC4" s="77" t="s">
        <v>296</v>
      </c>
      <c r="AD4" s="76" t="s">
        <v>295</v>
      </c>
      <c r="AE4" s="77" t="s">
        <v>296</v>
      </c>
      <c r="AF4" s="76" t="s">
        <v>295</v>
      </c>
      <c r="AG4" s="77" t="s">
        <v>296</v>
      </c>
      <c r="AH4" s="76" t="s">
        <v>295</v>
      </c>
      <c r="AI4" s="77" t="s">
        <v>296</v>
      </c>
      <c r="AJ4" s="76" t="s">
        <v>295</v>
      </c>
      <c r="AK4" s="77" t="s">
        <v>296</v>
      </c>
      <c r="AL4" s="76" t="s">
        <v>295</v>
      </c>
      <c r="AM4" s="77" t="s">
        <v>296</v>
      </c>
      <c r="AN4" s="76" t="s">
        <v>295</v>
      </c>
      <c r="AO4" s="77" t="s">
        <v>296</v>
      </c>
      <c r="AP4" s="76" t="s">
        <v>295</v>
      </c>
      <c r="AQ4" s="77" t="s">
        <v>296</v>
      </c>
      <c r="AR4" s="76" t="s">
        <v>295</v>
      </c>
      <c r="AS4" s="77" t="s">
        <v>296</v>
      </c>
      <c r="AT4" s="76" t="s">
        <v>295</v>
      </c>
      <c r="AU4" s="77" t="s">
        <v>296</v>
      </c>
      <c r="AV4" s="76" t="s">
        <v>295</v>
      </c>
      <c r="AW4" s="77" t="s">
        <v>296</v>
      </c>
      <c r="AX4" s="76" t="s">
        <v>295</v>
      </c>
      <c r="AY4" s="77" t="s">
        <v>296</v>
      </c>
      <c r="AZ4" s="76" t="s">
        <v>295</v>
      </c>
      <c r="BA4" s="77" t="s">
        <v>296</v>
      </c>
      <c r="BB4" s="76" t="s">
        <v>295</v>
      </c>
      <c r="BC4" s="77" t="s">
        <v>296</v>
      </c>
      <c r="BD4" s="76" t="s">
        <v>295</v>
      </c>
      <c r="BE4" s="77" t="s">
        <v>296</v>
      </c>
      <c r="BF4" s="76" t="s">
        <v>295</v>
      </c>
      <c r="BG4" s="77" t="s">
        <v>296</v>
      </c>
      <c r="BH4" s="76" t="s">
        <v>295</v>
      </c>
      <c r="BI4" s="77" t="s">
        <v>296</v>
      </c>
      <c r="BJ4" s="76" t="s">
        <v>295</v>
      </c>
      <c r="BK4" s="77" t="s">
        <v>296</v>
      </c>
      <c r="BL4" s="76" t="s">
        <v>295</v>
      </c>
      <c r="BM4" s="77" t="s">
        <v>296</v>
      </c>
      <c r="BN4" s="76" t="s">
        <v>295</v>
      </c>
      <c r="BO4" s="77" t="s">
        <v>296</v>
      </c>
      <c r="BP4" s="76" t="s">
        <v>295</v>
      </c>
      <c r="BQ4" s="77" t="s">
        <v>296</v>
      </c>
      <c r="BR4" s="95" t="s">
        <v>295</v>
      </c>
      <c r="BS4" s="96" t="s">
        <v>296</v>
      </c>
    </row>
    <row r="5" spans="1:71" x14ac:dyDescent="0.25">
      <c r="A5" s="4" t="s">
        <v>267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97"/>
      <c r="BS5" s="97"/>
    </row>
    <row r="6" spans="1:71" x14ac:dyDescent="0.25">
      <c r="A6" s="3" t="s">
        <v>268</v>
      </c>
      <c r="B6" s="11"/>
      <c r="C6" s="11"/>
      <c r="D6" s="11"/>
      <c r="E6" s="11"/>
      <c r="F6" s="11"/>
      <c r="G6" s="11"/>
      <c r="H6" s="11"/>
      <c r="I6" s="11"/>
      <c r="J6" s="11">
        <v>-102446</v>
      </c>
      <c r="K6" s="11">
        <v>919867</v>
      </c>
      <c r="L6" s="11">
        <v>128678</v>
      </c>
      <c r="M6" s="11">
        <v>10826</v>
      </c>
      <c r="N6" s="11">
        <v>34931</v>
      </c>
      <c r="O6" s="11">
        <v>124158</v>
      </c>
      <c r="P6" s="11"/>
      <c r="Q6" s="11"/>
      <c r="R6" s="11">
        <v>89191</v>
      </c>
      <c r="S6" s="11">
        <v>216910</v>
      </c>
      <c r="T6" s="11">
        <v>-540</v>
      </c>
      <c r="U6" s="11">
        <v>-10187</v>
      </c>
      <c r="V6" s="11"/>
      <c r="W6" s="11"/>
      <c r="X6" s="11">
        <v>-76495</v>
      </c>
      <c r="Y6" s="11">
        <v>22200</v>
      </c>
      <c r="Z6" s="11">
        <v>14066</v>
      </c>
      <c r="AA6" s="11">
        <v>20585</v>
      </c>
      <c r="AB6" s="11">
        <v>8284</v>
      </c>
      <c r="AC6" s="11">
        <v>-394231</v>
      </c>
      <c r="AD6" s="11">
        <v>101161</v>
      </c>
      <c r="AE6" s="11">
        <v>190557</v>
      </c>
      <c r="AF6" s="11">
        <v>94251</v>
      </c>
      <c r="AG6" s="11">
        <v>309334</v>
      </c>
      <c r="AH6" s="11">
        <v>-30998</v>
      </c>
      <c r="AI6" s="11">
        <v>-52007</v>
      </c>
      <c r="AJ6" s="11">
        <v>10918</v>
      </c>
      <c r="AK6" s="11">
        <v>-8910</v>
      </c>
      <c r="AL6" s="11">
        <v>-40510</v>
      </c>
      <c r="AM6" s="11">
        <v>-143098</v>
      </c>
      <c r="AN6" s="11"/>
      <c r="AO6" s="11"/>
      <c r="AP6" s="11">
        <v>-609553.64289834024</v>
      </c>
      <c r="AQ6" s="11">
        <v>-40674.399892805144</v>
      </c>
      <c r="AR6" s="11">
        <v>319928</v>
      </c>
      <c r="AS6" s="11">
        <v>595466</v>
      </c>
      <c r="AT6" s="11">
        <v>-295835</v>
      </c>
      <c r="AU6" s="11">
        <v>-1703</v>
      </c>
      <c r="AV6" s="11">
        <v>-1837</v>
      </c>
      <c r="AW6" s="11">
        <v>-879</v>
      </c>
      <c r="AX6" s="11">
        <v>583980</v>
      </c>
      <c r="AY6" s="11">
        <v>676831</v>
      </c>
      <c r="AZ6" s="11"/>
      <c r="BA6" s="11"/>
      <c r="BB6" s="11"/>
      <c r="BC6" s="11"/>
      <c r="BD6" s="11">
        <v>37354</v>
      </c>
      <c r="BE6" s="11">
        <v>-25338</v>
      </c>
      <c r="BF6" s="11">
        <v>765125</v>
      </c>
      <c r="BG6" s="11">
        <v>1386813</v>
      </c>
      <c r="BH6" s="11">
        <v>16169</v>
      </c>
      <c r="BI6" s="11">
        <v>63275</v>
      </c>
      <c r="BJ6" s="11"/>
      <c r="BK6" s="11"/>
      <c r="BL6" s="11">
        <v>-230298</v>
      </c>
      <c r="BM6" s="11">
        <v>454548</v>
      </c>
      <c r="BN6" s="11">
        <v>-1893976</v>
      </c>
      <c r="BO6" s="11">
        <v>-4382941</v>
      </c>
      <c r="BP6" s="11">
        <v>849</v>
      </c>
      <c r="BQ6" s="11">
        <v>68113</v>
      </c>
      <c r="BR6" s="98">
        <f>B6+D6+F6+H6+J6+L6+N6+P6+R6+T6+V6+X6+Z6+AB6+AD6+AF6+AH6+AJ6+AL6+AN6+AP6+AR6+AT6+AV6+AX6+AZ6+BB6+BD6+BF6+BH6+BJ6+BL6+BN6+BP6</f>
        <v>-1077603.6428983402</v>
      </c>
      <c r="BS6" s="98">
        <f>C6+E6+G6+I6+K6+M6+O6+Q6+S6+U6+W6+Y6+AA6+AC6+AE6+AG6+AI6+AK6+AM6+AO6+AQ6+AS6+AU6+AW6+AY6+BA6+BC6+BE6+BG6+BI6+BK6+BM6+BO6+BQ6</f>
        <v>-485.39989280514419</v>
      </c>
    </row>
    <row r="7" spans="1:71" x14ac:dyDescent="0.25">
      <c r="A7" s="3" t="s">
        <v>269</v>
      </c>
      <c r="B7" s="11"/>
      <c r="C7" s="11"/>
      <c r="D7" s="11"/>
      <c r="E7" s="11"/>
      <c r="F7" s="11"/>
      <c r="G7" s="11"/>
      <c r="H7" s="11"/>
      <c r="I7" s="11"/>
      <c r="J7" s="11">
        <v>-39419</v>
      </c>
      <c r="K7" s="11">
        <v>-78658</v>
      </c>
      <c r="L7" s="11">
        <v>-116132</v>
      </c>
      <c r="M7" s="11">
        <v>-165847</v>
      </c>
      <c r="N7" s="11">
        <v>26605</v>
      </c>
      <c r="O7" s="11">
        <v>26747</v>
      </c>
      <c r="P7" s="11"/>
      <c r="Q7" s="81"/>
      <c r="R7" s="81"/>
      <c r="S7" s="81"/>
      <c r="T7" s="81">
        <v>-296</v>
      </c>
      <c r="U7" s="81">
        <v>-1107</v>
      </c>
      <c r="V7" s="81"/>
      <c r="W7" s="81"/>
      <c r="X7" s="81">
        <v>-24496</v>
      </c>
      <c r="Y7" s="81">
        <v>-1530</v>
      </c>
      <c r="Z7" s="81">
        <v>-643</v>
      </c>
      <c r="AA7" s="81">
        <v>-655</v>
      </c>
      <c r="AB7" s="81">
        <v>5634</v>
      </c>
      <c r="AC7" s="81">
        <v>-117330</v>
      </c>
      <c r="AD7" s="81">
        <v>101405</v>
      </c>
      <c r="AE7" s="81">
        <v>156499</v>
      </c>
      <c r="AF7" s="81">
        <v>-26700</v>
      </c>
      <c r="AG7" s="81">
        <v>34727</v>
      </c>
      <c r="AH7" s="81"/>
      <c r="AI7" s="81"/>
      <c r="AJ7" s="81">
        <v>15312</v>
      </c>
      <c r="AK7" s="11">
        <v>-11370</v>
      </c>
      <c r="AL7" s="11">
        <v>-5940</v>
      </c>
      <c r="AM7" s="11">
        <v>-14733</v>
      </c>
      <c r="AN7" s="11"/>
      <c r="AO7" s="11"/>
      <c r="AP7" s="11">
        <v>-21125.689951115986</v>
      </c>
      <c r="AQ7" s="11">
        <v>175933.07274479652</v>
      </c>
      <c r="AR7" s="11">
        <v>411738</v>
      </c>
      <c r="AS7" s="11">
        <v>392267</v>
      </c>
      <c r="AT7" s="11">
        <v>-228154</v>
      </c>
      <c r="AU7" s="11">
        <v>-497410</v>
      </c>
      <c r="AV7" s="11">
        <v>21</v>
      </c>
      <c r="AW7" s="11">
        <v>116</v>
      </c>
      <c r="AX7" s="11">
        <v>-14930</v>
      </c>
      <c r="AY7" s="11">
        <v>-9174</v>
      </c>
      <c r="AZ7" s="11"/>
      <c r="BA7" s="11"/>
      <c r="BB7" s="11"/>
      <c r="BC7" s="11"/>
      <c r="BD7" s="11">
        <v>-9054</v>
      </c>
      <c r="BE7" s="11">
        <v>11570</v>
      </c>
      <c r="BF7" s="11">
        <v>-16635</v>
      </c>
      <c r="BG7" s="11">
        <v>-55127</v>
      </c>
      <c r="BH7" s="11">
        <v>855</v>
      </c>
      <c r="BI7" s="11">
        <v>1594</v>
      </c>
      <c r="BJ7" s="11"/>
      <c r="BK7" s="11"/>
      <c r="BL7" s="11">
        <v>39400</v>
      </c>
      <c r="BM7" s="11">
        <v>85032</v>
      </c>
      <c r="BN7" s="11">
        <v>-134141</v>
      </c>
      <c r="BO7" s="11">
        <v>-23168</v>
      </c>
      <c r="BP7" s="11">
        <v>-1511</v>
      </c>
      <c r="BQ7" s="11">
        <v>-1136</v>
      </c>
      <c r="BR7" s="98">
        <f t="shared" ref="BR7:BR8" si="0">B7+D7+F7+H7+J7+L7+N7+P7+R7+T7+V7+X7+Z7+AB7+AD7+AF7+AH7+AJ7+AL7+AN7+AP7+AR7+AT7+AV7+AX7+AZ7+BB7+BD7+BF7+BH7+BJ7+BL7+BN7+BP7</f>
        <v>-38206.689951115986</v>
      </c>
      <c r="BS7" s="98">
        <f t="shared" ref="BS7:BS8" si="1">C7+E7+G7+I7+K7+M7+O7+Q7+S7+U7+W7+Y7+AA7+AC7+AE7+AG7+AI7+AK7+AM7+AO7+AQ7+AS7+AU7+AW7+AY7+BA7+BC7+BE7+BG7+BI7+BK7+BM7+BO7+BQ7</f>
        <v>-92759.927255203482</v>
      </c>
    </row>
    <row r="8" spans="1:71" x14ac:dyDescent="0.25">
      <c r="A8" s="3" t="s">
        <v>270</v>
      </c>
      <c r="B8" s="11">
        <v>-534425</v>
      </c>
      <c r="C8" s="11">
        <v>-1057264</v>
      </c>
      <c r="D8" s="11">
        <v>-711948</v>
      </c>
      <c r="E8" s="11">
        <v>-1358871</v>
      </c>
      <c r="F8" s="11">
        <v>-1841965</v>
      </c>
      <c r="G8" s="11">
        <v>-517467</v>
      </c>
      <c r="H8" s="11">
        <v>-1373054</v>
      </c>
      <c r="I8" s="11">
        <v>-2477613</v>
      </c>
      <c r="J8" s="11">
        <v>2807254</v>
      </c>
      <c r="K8" s="11">
        <v>4863821</v>
      </c>
      <c r="L8" s="11">
        <v>-74701</v>
      </c>
      <c r="M8" s="11">
        <v>-467199</v>
      </c>
      <c r="N8" s="11">
        <v>901048</v>
      </c>
      <c r="O8" s="11">
        <v>1037252</v>
      </c>
      <c r="P8" s="11">
        <v>-212210</v>
      </c>
      <c r="Q8" s="11">
        <v>-583985</v>
      </c>
      <c r="R8" s="11">
        <v>-174392</v>
      </c>
      <c r="S8" s="11">
        <v>-279965</v>
      </c>
      <c r="T8" s="11">
        <v>-179539</v>
      </c>
      <c r="U8" s="11">
        <v>-321099</v>
      </c>
      <c r="V8" s="11">
        <v>1156421.05</v>
      </c>
      <c r="W8" s="11">
        <v>2856897.58</v>
      </c>
      <c r="X8" s="11">
        <v>499611</v>
      </c>
      <c r="Y8" s="11">
        <v>496860</v>
      </c>
      <c r="Z8" s="11">
        <v>-539759</v>
      </c>
      <c r="AA8" s="11">
        <v>-1237163</v>
      </c>
      <c r="AB8" s="11">
        <v>1074120</v>
      </c>
      <c r="AC8" s="11">
        <v>2463241</v>
      </c>
      <c r="AD8" s="11">
        <v>3529828</v>
      </c>
      <c r="AE8" s="11">
        <v>7128655</v>
      </c>
      <c r="AF8" s="11">
        <v>141299</v>
      </c>
      <c r="AG8" s="11">
        <v>-312063</v>
      </c>
      <c r="AH8" s="11">
        <v>-83912</v>
      </c>
      <c r="AI8" s="11">
        <v>-122281</v>
      </c>
      <c r="AJ8" s="11">
        <v>-780671</v>
      </c>
      <c r="AK8" s="11">
        <v>-1046265</v>
      </c>
      <c r="AL8" s="11">
        <v>159070</v>
      </c>
      <c r="AM8" s="11">
        <v>205285</v>
      </c>
      <c r="AN8" s="11">
        <v>250403</v>
      </c>
      <c r="AO8" s="11">
        <v>-225802</v>
      </c>
      <c r="AP8" s="11">
        <v>-8687879.2228385881</v>
      </c>
      <c r="AQ8" s="11">
        <v>-9089126.9298009574</v>
      </c>
      <c r="AR8" s="11">
        <v>421500</v>
      </c>
      <c r="AS8" s="11">
        <v>-951914</v>
      </c>
      <c r="AT8" s="11">
        <v>-3113174</v>
      </c>
      <c r="AU8" s="11">
        <v>-5532848</v>
      </c>
      <c r="AV8" s="11">
        <v>2476</v>
      </c>
      <c r="AW8" s="11">
        <v>-26637</v>
      </c>
      <c r="AX8" s="11">
        <v>61248</v>
      </c>
      <c r="AY8" s="11">
        <v>417135</v>
      </c>
      <c r="AZ8" s="11">
        <v>-196609</v>
      </c>
      <c r="BA8" s="11">
        <v>-393169</v>
      </c>
      <c r="BB8" s="11">
        <v>176461</v>
      </c>
      <c r="BC8" s="11">
        <v>224900</v>
      </c>
      <c r="BD8" s="11">
        <v>-36983</v>
      </c>
      <c r="BE8" s="11">
        <v>-24554</v>
      </c>
      <c r="BF8" s="11">
        <v>546558</v>
      </c>
      <c r="BG8" s="11">
        <v>867947</v>
      </c>
      <c r="BH8" s="11">
        <v>1834169</v>
      </c>
      <c r="BI8" s="11">
        <v>3773229</v>
      </c>
      <c r="BJ8" s="11">
        <v>-1034844</v>
      </c>
      <c r="BK8" s="11">
        <v>-1921954</v>
      </c>
      <c r="BL8" s="11">
        <v>595070</v>
      </c>
      <c r="BM8" s="11">
        <v>840782</v>
      </c>
      <c r="BN8" s="11">
        <v>-6424260</v>
      </c>
      <c r="BO8" s="11">
        <v>-7617225</v>
      </c>
      <c r="BP8" s="11">
        <v>260788</v>
      </c>
      <c r="BQ8" s="11">
        <v>368266</v>
      </c>
      <c r="BR8" s="98">
        <f t="shared" si="0"/>
        <v>-11583001.172838587</v>
      </c>
      <c r="BS8" s="98">
        <f t="shared" si="1"/>
        <v>-10020194.349800957</v>
      </c>
    </row>
    <row r="9" spans="1:71" x14ac:dyDescent="0.25">
      <c r="A9" s="4" t="s">
        <v>271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98"/>
      <c r="BS9" s="98"/>
    </row>
    <row r="10" spans="1:71" x14ac:dyDescent="0.25">
      <c r="A10" s="3" t="s">
        <v>272</v>
      </c>
      <c r="B10" s="11">
        <v>25295</v>
      </c>
      <c r="C10" s="11">
        <v>56262</v>
      </c>
      <c r="D10" s="11">
        <v>37971</v>
      </c>
      <c r="E10" s="11">
        <v>67964</v>
      </c>
      <c r="F10" s="11">
        <v>43337</v>
      </c>
      <c r="G10" s="11">
        <v>518625</v>
      </c>
      <c r="H10" s="11">
        <v>63396</v>
      </c>
      <c r="I10" s="11">
        <v>139038</v>
      </c>
      <c r="J10" s="11">
        <v>664324</v>
      </c>
      <c r="K10" s="11">
        <v>1324219</v>
      </c>
      <c r="L10" s="11">
        <v>83886</v>
      </c>
      <c r="M10" s="11">
        <v>189486</v>
      </c>
      <c r="N10" s="11">
        <v>142599</v>
      </c>
      <c r="O10" s="11">
        <v>269084</v>
      </c>
      <c r="P10" s="11">
        <v>32915</v>
      </c>
      <c r="Q10" s="11">
        <v>68576</v>
      </c>
      <c r="R10" s="11">
        <v>5981</v>
      </c>
      <c r="S10" s="11">
        <v>11886</v>
      </c>
      <c r="T10" s="11">
        <v>23984</v>
      </c>
      <c r="U10" s="11">
        <v>55913</v>
      </c>
      <c r="V10" s="11">
        <v>865518.98</v>
      </c>
      <c r="W10" s="11">
        <v>1656986.24</v>
      </c>
      <c r="X10" s="11">
        <v>153872</v>
      </c>
      <c r="Y10" s="11">
        <v>270467</v>
      </c>
      <c r="Z10" s="11">
        <v>154277</v>
      </c>
      <c r="AA10" s="11">
        <v>282152</v>
      </c>
      <c r="AB10" s="11">
        <v>412489</v>
      </c>
      <c r="AC10" s="11">
        <v>783290</v>
      </c>
      <c r="AD10" s="11">
        <v>1021664</v>
      </c>
      <c r="AE10" s="11">
        <v>1962363</v>
      </c>
      <c r="AF10" s="11">
        <v>386087</v>
      </c>
      <c r="AG10" s="11">
        <v>793397</v>
      </c>
      <c r="AH10" s="11">
        <v>29123</v>
      </c>
      <c r="AI10" s="11">
        <v>50661</v>
      </c>
      <c r="AJ10" s="11">
        <v>157511</v>
      </c>
      <c r="AK10" s="11">
        <v>243396</v>
      </c>
      <c r="AL10" s="11">
        <v>48963</v>
      </c>
      <c r="AM10" s="11">
        <v>84635</v>
      </c>
      <c r="AN10" s="11">
        <v>57711</v>
      </c>
      <c r="AO10" s="11">
        <v>103154</v>
      </c>
      <c r="AP10" s="11">
        <v>38721</v>
      </c>
      <c r="AQ10" s="11">
        <v>77000</v>
      </c>
      <c r="AR10" s="11">
        <v>2953542</v>
      </c>
      <c r="AS10" s="11">
        <v>6067896</v>
      </c>
      <c r="AT10" s="11">
        <v>537664</v>
      </c>
      <c r="AU10" s="11">
        <v>978000</v>
      </c>
      <c r="AV10" s="11">
        <v>24422</v>
      </c>
      <c r="AW10" s="11">
        <v>54060</v>
      </c>
      <c r="AX10" s="11">
        <v>236243</v>
      </c>
      <c r="AY10" s="11">
        <v>533183</v>
      </c>
      <c r="AZ10" s="11">
        <v>1767</v>
      </c>
      <c r="BA10" s="11">
        <v>6506</v>
      </c>
      <c r="BB10" s="11">
        <v>50417</v>
      </c>
      <c r="BC10" s="11">
        <v>101638</v>
      </c>
      <c r="BD10" s="11">
        <v>198962</v>
      </c>
      <c r="BE10" s="11">
        <v>365940</v>
      </c>
      <c r="BF10" s="11">
        <v>270613</v>
      </c>
      <c r="BG10" s="11">
        <v>537336</v>
      </c>
      <c r="BH10" s="11">
        <v>278793</v>
      </c>
      <c r="BI10" s="11">
        <v>561575</v>
      </c>
      <c r="BJ10" s="11">
        <v>259201</v>
      </c>
      <c r="BK10" s="11">
        <v>520971</v>
      </c>
      <c r="BL10" s="11">
        <v>410224</v>
      </c>
      <c r="BM10" s="11">
        <v>777352</v>
      </c>
      <c r="BN10" s="11">
        <v>569983</v>
      </c>
      <c r="BO10" s="11">
        <v>1033126</v>
      </c>
      <c r="BP10" s="11">
        <v>74633</v>
      </c>
      <c r="BQ10" s="11">
        <v>149198</v>
      </c>
      <c r="BR10" s="98">
        <f t="shared" ref="BR10:BR16" si="2">B10+D10+F10+H10+J10+L10+N10+P10+R10+T10+V10+X10+Z10+AB10+AD10+AF10+AH10+AJ10+AL10+AN10+AP10+AR10+AT10+AV10+AX10+AZ10+BB10+BD10+BF10+BH10+BJ10+BL10+BN10+BP10</f>
        <v>10316088.98</v>
      </c>
      <c r="BS10" s="98">
        <f t="shared" ref="BS10:BS16" si="3">C10+E10+G10+I10+K10+M10+O10+Q10+S10+U10+W10+Y10+AA10+AC10+AE10+AG10+AI10+AK10+AM10+AO10+AQ10+AS10+AU10+AW10+AY10+BA10+BC10+BE10+BG10+BI10+BK10+BM10+BO10+BQ10</f>
        <v>20695335.240000002</v>
      </c>
    </row>
    <row r="11" spans="1:71" x14ac:dyDescent="0.25">
      <c r="A11" s="3" t="s">
        <v>273</v>
      </c>
      <c r="B11" s="11">
        <v>9333</v>
      </c>
      <c r="C11" s="11">
        <v>27488</v>
      </c>
      <c r="D11" s="11">
        <v>7636</v>
      </c>
      <c r="E11" s="11">
        <v>7636</v>
      </c>
      <c r="F11" s="11"/>
      <c r="G11" s="11"/>
      <c r="H11" s="11">
        <v>680</v>
      </c>
      <c r="I11" s="11">
        <v>680</v>
      </c>
      <c r="J11" s="11">
        <v>611774</v>
      </c>
      <c r="K11" s="11">
        <v>923323</v>
      </c>
      <c r="L11" s="11">
        <v>38299</v>
      </c>
      <c r="M11" s="11">
        <v>51418</v>
      </c>
      <c r="N11" s="11">
        <v>46668</v>
      </c>
      <c r="O11" s="11">
        <v>56857</v>
      </c>
      <c r="P11" s="11">
        <v>17522</v>
      </c>
      <c r="Q11" s="11">
        <v>21660</v>
      </c>
      <c r="R11" s="11">
        <v>214</v>
      </c>
      <c r="S11" s="11">
        <v>728</v>
      </c>
      <c r="T11" s="11">
        <v>13022</v>
      </c>
      <c r="U11" s="11">
        <v>33809</v>
      </c>
      <c r="V11" s="11">
        <v>27407.07</v>
      </c>
      <c r="W11" s="11">
        <v>186705.23</v>
      </c>
      <c r="X11" s="11">
        <v>6050</v>
      </c>
      <c r="Y11" s="11">
        <v>12570</v>
      </c>
      <c r="Z11" s="11">
        <v>5301</v>
      </c>
      <c r="AA11" s="11">
        <v>14127</v>
      </c>
      <c r="AB11" s="11">
        <v>11477</v>
      </c>
      <c r="AC11" s="11">
        <v>34931</v>
      </c>
      <c r="AD11" s="11">
        <v>300494</v>
      </c>
      <c r="AE11" s="11">
        <v>632134</v>
      </c>
      <c r="AF11" s="11">
        <v>6859</v>
      </c>
      <c r="AG11" s="11">
        <v>13447</v>
      </c>
      <c r="AH11" s="11">
        <v>10548</v>
      </c>
      <c r="AI11" s="11">
        <v>28014</v>
      </c>
      <c r="AJ11" s="11">
        <v>8212</v>
      </c>
      <c r="AK11" s="11">
        <v>9963</v>
      </c>
      <c r="AL11" s="11">
        <v>35546</v>
      </c>
      <c r="AM11" s="11">
        <v>41744</v>
      </c>
      <c r="AN11" s="11">
        <v>4026</v>
      </c>
      <c r="AO11" s="11">
        <v>6349</v>
      </c>
      <c r="AP11" s="11">
        <v>14092</v>
      </c>
      <c r="AQ11" s="11">
        <v>22957</v>
      </c>
      <c r="AR11" s="11">
        <v>2862973</v>
      </c>
      <c r="AS11" s="11">
        <v>4708040</v>
      </c>
      <c r="AT11" s="11">
        <v>413004</v>
      </c>
      <c r="AU11" s="11">
        <v>995128</v>
      </c>
      <c r="AV11" s="11">
        <v>1743</v>
      </c>
      <c r="AW11" s="11">
        <v>3616</v>
      </c>
      <c r="AX11" s="11">
        <v>58394</v>
      </c>
      <c r="AY11" s="11">
        <v>112471</v>
      </c>
      <c r="AZ11" s="11">
        <v>5957</v>
      </c>
      <c r="BA11" s="11">
        <v>10140</v>
      </c>
      <c r="BB11" s="11"/>
      <c r="BC11" s="11"/>
      <c r="BD11" s="11">
        <v>30024</v>
      </c>
      <c r="BE11" s="11">
        <v>55475</v>
      </c>
      <c r="BF11" s="11">
        <v>87750</v>
      </c>
      <c r="BG11" s="11">
        <v>180054</v>
      </c>
      <c r="BH11" s="11"/>
      <c r="BI11" s="11"/>
      <c r="BJ11" s="11">
        <v>22991</v>
      </c>
      <c r="BK11" s="11">
        <v>22991</v>
      </c>
      <c r="BL11" s="11">
        <v>43467</v>
      </c>
      <c r="BM11" s="11">
        <v>192637</v>
      </c>
      <c r="BN11" s="11">
        <v>227956</v>
      </c>
      <c r="BO11" s="11">
        <v>563499</v>
      </c>
      <c r="BP11" s="11">
        <v>6147</v>
      </c>
      <c r="BQ11" s="11">
        <v>9147</v>
      </c>
      <c r="BR11" s="98">
        <f t="shared" si="2"/>
        <v>4935566.07</v>
      </c>
      <c r="BS11" s="98">
        <f t="shared" si="3"/>
        <v>8979738.2300000004</v>
      </c>
    </row>
    <row r="12" spans="1:71" x14ac:dyDescent="0.25">
      <c r="A12" s="3" t="s">
        <v>274</v>
      </c>
      <c r="B12" s="11">
        <v>-3201</v>
      </c>
      <c r="C12" s="11">
        <v>-4051</v>
      </c>
      <c r="D12" s="11"/>
      <c r="E12" s="11"/>
      <c r="F12" s="11"/>
      <c r="G12" s="11"/>
      <c r="H12" s="11"/>
      <c r="I12" s="11"/>
      <c r="J12" s="11">
        <v>-53547</v>
      </c>
      <c r="K12" s="11">
        <v>-105900</v>
      </c>
      <c r="L12" s="11"/>
      <c r="M12" s="11"/>
      <c r="N12" s="11"/>
      <c r="O12" s="11"/>
      <c r="P12" s="11"/>
      <c r="Q12" s="11"/>
      <c r="R12" s="11"/>
      <c r="S12" s="11"/>
      <c r="T12" s="11">
        <v>-3955</v>
      </c>
      <c r="U12" s="11">
        <v>-4240</v>
      </c>
      <c r="V12" s="25">
        <v>-0.03</v>
      </c>
      <c r="W12" s="11">
        <v>-30699.95</v>
      </c>
      <c r="X12" s="11">
        <v>-530</v>
      </c>
      <c r="Y12" s="11">
        <v>-1228</v>
      </c>
      <c r="Z12" s="11"/>
      <c r="AA12" s="11"/>
      <c r="AB12" s="11"/>
      <c r="AC12" s="11"/>
      <c r="AD12" s="11">
        <v>-129474</v>
      </c>
      <c r="AE12" s="11">
        <v>-133044</v>
      </c>
      <c r="AF12" s="11"/>
      <c r="AG12" s="11"/>
      <c r="AH12" s="11">
        <v>-2048</v>
      </c>
      <c r="AI12" s="11">
        <v>-3607</v>
      </c>
      <c r="AJ12" s="11"/>
      <c r="AK12" s="11"/>
      <c r="AL12" s="11">
        <v>-769</v>
      </c>
      <c r="AM12" s="11">
        <v>-769</v>
      </c>
      <c r="AN12" s="11"/>
      <c r="AO12" s="11"/>
      <c r="AP12" s="11"/>
      <c r="AQ12" s="11"/>
      <c r="AR12" s="11"/>
      <c r="AS12" s="11"/>
      <c r="AT12" s="11"/>
      <c r="AU12" s="11"/>
      <c r="AV12" s="11"/>
      <c r="AW12" s="11">
        <v>-18</v>
      </c>
      <c r="AX12" s="11">
        <v>-3027</v>
      </c>
      <c r="AY12" s="11">
        <v>-8790</v>
      </c>
      <c r="AZ12" s="11"/>
      <c r="BA12" s="11"/>
      <c r="BB12" s="11"/>
      <c r="BC12" s="11"/>
      <c r="BD12" s="11">
        <v>-4075</v>
      </c>
      <c r="BE12" s="11">
        <v>-14545</v>
      </c>
      <c r="BF12" s="11">
        <v>-69322</v>
      </c>
      <c r="BG12" s="11">
        <v>-83881</v>
      </c>
      <c r="BH12" s="11"/>
      <c r="BI12" s="11"/>
      <c r="BJ12" s="11"/>
      <c r="BK12" s="11"/>
      <c r="BL12" s="11">
        <v>-9612</v>
      </c>
      <c r="BM12" s="11">
        <v>-34876</v>
      </c>
      <c r="BN12" s="11"/>
      <c r="BO12" s="11"/>
      <c r="BP12" s="11">
        <v>-1350</v>
      </c>
      <c r="BQ12" s="11">
        <v>-1392</v>
      </c>
      <c r="BR12" s="98">
        <f t="shared" si="2"/>
        <v>-280910.03000000003</v>
      </c>
      <c r="BS12" s="98">
        <f t="shared" si="3"/>
        <v>-427040.95</v>
      </c>
    </row>
    <row r="13" spans="1:71" ht="15" customHeight="1" x14ac:dyDescent="0.25">
      <c r="A13" s="3" t="s">
        <v>275</v>
      </c>
      <c r="B13" s="11"/>
      <c r="C13" s="11"/>
      <c r="D13" s="11">
        <v>-1445</v>
      </c>
      <c r="E13" s="11">
        <v>-2322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>
        <v>2871</v>
      </c>
      <c r="Y13" s="11">
        <v>4512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>
        <v>13640</v>
      </c>
      <c r="BM13" s="11">
        <v>29302</v>
      </c>
      <c r="BN13" s="11"/>
      <c r="BO13" s="11"/>
      <c r="BP13" s="11"/>
      <c r="BQ13" s="11"/>
      <c r="BR13" s="98">
        <f t="shared" si="2"/>
        <v>15066</v>
      </c>
      <c r="BS13" s="98">
        <f t="shared" si="3"/>
        <v>31492</v>
      </c>
    </row>
    <row r="14" spans="1:71" x14ac:dyDescent="0.25">
      <c r="A14" s="11" t="s">
        <v>276</v>
      </c>
      <c r="B14" s="11"/>
      <c r="C14" s="11"/>
      <c r="D14" s="11"/>
      <c r="E14" s="11"/>
      <c r="F14" s="11"/>
      <c r="G14" s="11"/>
      <c r="H14" s="11"/>
      <c r="I14" s="11">
        <v>-947</v>
      </c>
      <c r="J14" s="11">
        <v>-22772</v>
      </c>
      <c r="K14" s="11">
        <v>-18659</v>
      </c>
      <c r="L14" s="11">
        <v>-1328</v>
      </c>
      <c r="M14" s="11">
        <v>-2259</v>
      </c>
      <c r="N14" s="11"/>
      <c r="O14" s="11"/>
      <c r="P14" s="11"/>
      <c r="Q14" s="11"/>
      <c r="R14" s="11"/>
      <c r="S14" s="11"/>
      <c r="T14" s="11">
        <v>-445</v>
      </c>
      <c r="U14" s="11">
        <v>-273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>
        <v>-436</v>
      </c>
      <c r="AO14" s="11">
        <v>5</v>
      </c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>
        <v>-3845</v>
      </c>
      <c r="BI14" s="11">
        <v>-12327</v>
      </c>
      <c r="BJ14" s="11"/>
      <c r="BK14" s="11"/>
      <c r="BL14" s="11"/>
      <c r="BM14" s="11"/>
      <c r="BN14" s="11"/>
      <c r="BO14" s="11"/>
      <c r="BP14" s="11">
        <v>-2365</v>
      </c>
      <c r="BQ14" s="11">
        <v>-4053</v>
      </c>
      <c r="BR14" s="98">
        <f t="shared" si="2"/>
        <v>-31191</v>
      </c>
      <c r="BS14" s="98">
        <f t="shared" si="3"/>
        <v>-38513</v>
      </c>
    </row>
    <row r="15" spans="1:71" x14ac:dyDescent="0.25">
      <c r="A15" s="4" t="s">
        <v>277</v>
      </c>
      <c r="B15" s="11">
        <f>B16-B14-B13-B12-B11-B10-B8-B7-B6</f>
        <v>0</v>
      </c>
      <c r="C15" s="11">
        <f t="shared" ref="C15:AI15" si="4">C16-C14-C13-C12-C11-C10-C8-C7-C6</f>
        <v>0</v>
      </c>
      <c r="D15" s="11">
        <f t="shared" si="4"/>
        <v>0</v>
      </c>
      <c r="E15" s="11">
        <f t="shared" si="4"/>
        <v>0</v>
      </c>
      <c r="F15" s="11">
        <f t="shared" si="4"/>
        <v>5591</v>
      </c>
      <c r="G15" s="11">
        <f t="shared" si="4"/>
        <v>74955</v>
      </c>
      <c r="H15" s="11">
        <f t="shared" si="4"/>
        <v>4119</v>
      </c>
      <c r="I15" s="11">
        <f t="shared" si="4"/>
        <v>4919</v>
      </c>
      <c r="J15" s="11">
        <f t="shared" si="4"/>
        <v>1148</v>
      </c>
      <c r="K15" s="11">
        <f t="shared" si="4"/>
        <v>83335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11">
        <f t="shared" si="4"/>
        <v>1</v>
      </c>
      <c r="Q15" s="11">
        <f t="shared" si="4"/>
        <v>0</v>
      </c>
      <c r="R15" s="11">
        <f t="shared" si="4"/>
        <v>37</v>
      </c>
      <c r="S15" s="11">
        <f t="shared" si="4"/>
        <v>154</v>
      </c>
      <c r="T15" s="11">
        <f t="shared" si="4"/>
        <v>8</v>
      </c>
      <c r="U15" s="11">
        <f t="shared" si="4"/>
        <v>8</v>
      </c>
      <c r="V15" s="11">
        <f t="shared" si="4"/>
        <v>10125.929999999935</v>
      </c>
      <c r="W15" s="11">
        <f t="shared" si="4"/>
        <v>19209.669999998994</v>
      </c>
      <c r="X15" s="11">
        <f t="shared" si="4"/>
        <v>-1</v>
      </c>
      <c r="Y15" s="11">
        <f t="shared" si="4"/>
        <v>-1</v>
      </c>
      <c r="Z15" s="11">
        <f t="shared" si="4"/>
        <v>23</v>
      </c>
      <c r="AA15" s="11">
        <f t="shared" si="4"/>
        <v>24</v>
      </c>
      <c r="AB15" s="11">
        <f t="shared" si="4"/>
        <v>0</v>
      </c>
      <c r="AC15" s="11">
        <f t="shared" si="4"/>
        <v>0</v>
      </c>
      <c r="AD15" s="11">
        <f t="shared" si="4"/>
        <v>609</v>
      </c>
      <c r="AE15" s="11">
        <f t="shared" si="4"/>
        <v>1060</v>
      </c>
      <c r="AF15" s="11">
        <f t="shared" si="4"/>
        <v>3556</v>
      </c>
      <c r="AG15" s="11">
        <f t="shared" si="4"/>
        <v>9602</v>
      </c>
      <c r="AH15" s="11">
        <f t="shared" si="4"/>
        <v>-851</v>
      </c>
      <c r="AI15" s="11">
        <f t="shared" si="4"/>
        <v>-800</v>
      </c>
      <c r="AJ15" s="11">
        <f t="shared" ref="AJ15:BQ15" si="5">AJ16-AJ14-AJ13-AJ12-AJ11-AJ10-AJ8-AJ7-AJ6</f>
        <v>0</v>
      </c>
      <c r="AK15" s="11">
        <f t="shared" si="5"/>
        <v>0</v>
      </c>
      <c r="AL15" s="11">
        <f t="shared" si="5"/>
        <v>213</v>
      </c>
      <c r="AM15" s="11">
        <f t="shared" si="5"/>
        <v>213</v>
      </c>
      <c r="AN15" s="11">
        <f t="shared" si="5"/>
        <v>448</v>
      </c>
      <c r="AO15" s="11">
        <f t="shared" si="5"/>
        <v>2826</v>
      </c>
      <c r="AP15" s="11">
        <f t="shared" si="5"/>
        <v>47962.000000000233</v>
      </c>
      <c r="AQ15" s="11">
        <f t="shared" si="5"/>
        <v>72166.999999999534</v>
      </c>
      <c r="AR15" s="11">
        <f t="shared" si="5"/>
        <v>52167</v>
      </c>
      <c r="AS15" s="11">
        <f t="shared" si="5"/>
        <v>101312</v>
      </c>
      <c r="AT15" s="11">
        <f t="shared" si="5"/>
        <v>1154353</v>
      </c>
      <c r="AU15" s="11">
        <f t="shared" si="5"/>
        <v>1119210</v>
      </c>
      <c r="AV15" s="11">
        <f t="shared" si="5"/>
        <v>-1</v>
      </c>
      <c r="AW15" s="11">
        <f t="shared" si="5"/>
        <v>1456</v>
      </c>
      <c r="AX15" s="11">
        <f t="shared" si="5"/>
        <v>4490</v>
      </c>
      <c r="AY15" s="11">
        <f t="shared" si="5"/>
        <v>9449</v>
      </c>
      <c r="AZ15" s="11">
        <f t="shared" si="5"/>
        <v>0</v>
      </c>
      <c r="BA15" s="11">
        <f t="shared" si="5"/>
        <v>0</v>
      </c>
      <c r="BB15" s="11">
        <f t="shared" si="5"/>
        <v>3501</v>
      </c>
      <c r="BC15" s="11">
        <f t="shared" si="5"/>
        <v>3501</v>
      </c>
      <c r="BD15" s="11">
        <f t="shared" si="5"/>
        <v>144</v>
      </c>
      <c r="BE15" s="11">
        <f t="shared" si="5"/>
        <v>561</v>
      </c>
      <c r="BF15" s="11">
        <f t="shared" si="5"/>
        <v>960</v>
      </c>
      <c r="BG15" s="11">
        <f t="shared" si="5"/>
        <v>1851</v>
      </c>
      <c r="BH15" s="11">
        <f t="shared" si="5"/>
        <v>0</v>
      </c>
      <c r="BI15" s="11">
        <f t="shared" si="5"/>
        <v>-1</v>
      </c>
      <c r="BJ15" s="11">
        <f t="shared" si="5"/>
        <v>0</v>
      </c>
      <c r="BK15" s="11">
        <f t="shared" si="5"/>
        <v>0</v>
      </c>
      <c r="BL15" s="11">
        <f t="shared" si="5"/>
        <v>1638</v>
      </c>
      <c r="BM15" s="11">
        <f t="shared" si="5"/>
        <v>2272</v>
      </c>
      <c r="BN15" s="11">
        <f t="shared" si="5"/>
        <v>9949</v>
      </c>
      <c r="BO15" s="11">
        <f t="shared" si="5"/>
        <v>20392</v>
      </c>
      <c r="BP15" s="11">
        <f t="shared" si="5"/>
        <v>0</v>
      </c>
      <c r="BQ15" s="11">
        <f t="shared" si="5"/>
        <v>0</v>
      </c>
      <c r="BR15" s="98">
        <f t="shared" si="2"/>
        <v>1300189.9300000002</v>
      </c>
      <c r="BS15" s="98">
        <f t="shared" si="3"/>
        <v>1527674.6699999985</v>
      </c>
    </row>
    <row r="16" spans="1:71" s="9" customFormat="1" x14ac:dyDescent="0.25">
      <c r="A16" s="4" t="s">
        <v>40</v>
      </c>
      <c r="B16" s="12">
        <v>-502998</v>
      </c>
      <c r="C16" s="12">
        <v>-977565</v>
      </c>
      <c r="D16" s="12">
        <v>-667786</v>
      </c>
      <c r="E16" s="12">
        <v>-1285593</v>
      </c>
      <c r="F16" s="12">
        <v>-1793037</v>
      </c>
      <c r="G16" s="12">
        <v>76113</v>
      </c>
      <c r="H16" s="12">
        <v>-1304859</v>
      </c>
      <c r="I16" s="12">
        <v>-2333923</v>
      </c>
      <c r="J16" s="12">
        <v>3866316</v>
      </c>
      <c r="K16" s="12">
        <v>7911348</v>
      </c>
      <c r="L16" s="12">
        <v>58702</v>
      </c>
      <c r="M16" s="12">
        <v>-383575</v>
      </c>
      <c r="N16" s="12">
        <v>1151851</v>
      </c>
      <c r="O16" s="12">
        <v>1514098</v>
      </c>
      <c r="P16" s="12">
        <v>-161772</v>
      </c>
      <c r="Q16" s="12">
        <v>-493749</v>
      </c>
      <c r="R16" s="12">
        <v>-78969</v>
      </c>
      <c r="S16" s="12">
        <v>-50287</v>
      </c>
      <c r="T16" s="12">
        <v>-147761</v>
      </c>
      <c r="U16" s="12">
        <v>-247176</v>
      </c>
      <c r="V16" s="12">
        <v>2059473</v>
      </c>
      <c r="W16" s="12">
        <v>4689098.7699999996</v>
      </c>
      <c r="X16" s="12">
        <v>560882</v>
      </c>
      <c r="Y16" s="12">
        <v>803850</v>
      </c>
      <c r="Z16" s="12">
        <v>-366735</v>
      </c>
      <c r="AA16" s="12">
        <v>-920930</v>
      </c>
      <c r="AB16" s="12">
        <v>1512004</v>
      </c>
      <c r="AC16" s="12">
        <v>2769901</v>
      </c>
      <c r="AD16" s="12">
        <v>4925687</v>
      </c>
      <c r="AE16" s="12">
        <v>9938224</v>
      </c>
      <c r="AF16" s="12">
        <v>605352</v>
      </c>
      <c r="AG16" s="12">
        <v>848444</v>
      </c>
      <c r="AH16" s="12">
        <v>-78138</v>
      </c>
      <c r="AI16" s="12">
        <v>-100020</v>
      </c>
      <c r="AJ16" s="12">
        <v>-588718</v>
      </c>
      <c r="AK16" s="12">
        <v>-813186</v>
      </c>
      <c r="AL16" s="12">
        <v>196573</v>
      </c>
      <c r="AM16" s="12">
        <v>173277</v>
      </c>
      <c r="AN16" s="12">
        <v>312152</v>
      </c>
      <c r="AO16" s="12">
        <v>-113468</v>
      </c>
      <c r="AP16" s="12">
        <v>-9217783.5556880441</v>
      </c>
      <c r="AQ16" s="12">
        <v>-8781744.2569489665</v>
      </c>
      <c r="AR16" s="12">
        <v>7021848</v>
      </c>
      <c r="AS16" s="12">
        <v>10913067</v>
      </c>
      <c r="AT16" s="12">
        <v>-1532142</v>
      </c>
      <c r="AU16" s="12">
        <v>-2939623</v>
      </c>
      <c r="AV16" s="12">
        <v>26824</v>
      </c>
      <c r="AW16" s="12">
        <v>31714</v>
      </c>
      <c r="AX16" s="12">
        <v>926398</v>
      </c>
      <c r="AY16" s="12">
        <v>1731105</v>
      </c>
      <c r="AZ16" s="12">
        <v>-188885</v>
      </c>
      <c r="BA16" s="12">
        <v>-376523</v>
      </c>
      <c r="BB16" s="12">
        <v>230379</v>
      </c>
      <c r="BC16" s="12">
        <v>330039</v>
      </c>
      <c r="BD16" s="12">
        <v>216372</v>
      </c>
      <c r="BE16" s="12">
        <v>369109</v>
      </c>
      <c r="BF16" s="12">
        <v>1585049</v>
      </c>
      <c r="BG16" s="12">
        <v>2834993</v>
      </c>
      <c r="BH16" s="12">
        <v>2126141</v>
      </c>
      <c r="BI16" s="12">
        <v>4387345</v>
      </c>
      <c r="BJ16" s="12">
        <v>-752652</v>
      </c>
      <c r="BK16" s="12">
        <v>-1377992</v>
      </c>
      <c r="BL16" s="12">
        <v>863529</v>
      </c>
      <c r="BM16" s="12">
        <v>2347049</v>
      </c>
      <c r="BN16" s="12">
        <v>-7644489</v>
      </c>
      <c r="BO16" s="12">
        <v>-10406317</v>
      </c>
      <c r="BP16" s="12">
        <v>337191</v>
      </c>
      <c r="BQ16" s="12">
        <v>588143</v>
      </c>
      <c r="BR16" s="91">
        <f t="shared" si="2"/>
        <v>3555998.4443119559</v>
      </c>
      <c r="BS16" s="91">
        <f t="shared" si="3"/>
        <v>20655246.513051033</v>
      </c>
    </row>
    <row r="17" spans="1:71" x14ac:dyDescent="0.25">
      <c r="A17" s="4" t="s">
        <v>278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97"/>
      <c r="BS17" s="97"/>
    </row>
    <row r="18" spans="1:71" x14ac:dyDescent="0.25">
      <c r="A18" s="3" t="s">
        <v>279</v>
      </c>
      <c r="B18" s="11">
        <v>12500</v>
      </c>
      <c r="C18" s="11">
        <v>12500</v>
      </c>
      <c r="D18" s="11">
        <v>7256</v>
      </c>
      <c r="E18" s="11">
        <v>15000</v>
      </c>
      <c r="F18" s="11"/>
      <c r="G18" s="11"/>
      <c r="H18" s="11">
        <v>116353</v>
      </c>
      <c r="I18" s="11">
        <v>116353</v>
      </c>
      <c r="J18" s="11"/>
      <c r="K18" s="11">
        <v>742394</v>
      </c>
      <c r="L18" s="11">
        <v>382500</v>
      </c>
      <c r="M18" s="11">
        <v>382500</v>
      </c>
      <c r="N18" s="11">
        <v>5428</v>
      </c>
      <c r="O18" s="11">
        <v>-43110</v>
      </c>
      <c r="P18" s="11"/>
      <c r="Q18" s="11"/>
      <c r="R18" s="11"/>
      <c r="S18" s="11"/>
      <c r="T18" s="11">
        <v>13906</v>
      </c>
      <c r="U18" s="11">
        <v>51797</v>
      </c>
      <c r="V18" s="11"/>
      <c r="W18" s="11"/>
      <c r="X18" s="11"/>
      <c r="Y18" s="11"/>
      <c r="Z18" s="11"/>
      <c r="AA18" s="11"/>
      <c r="AB18" s="11">
        <v>-51870</v>
      </c>
      <c r="AC18" s="11">
        <v>-22950</v>
      </c>
      <c r="AD18" s="11">
        <v>2705</v>
      </c>
      <c r="AE18" s="11">
        <v>2705</v>
      </c>
      <c r="AF18" s="11"/>
      <c r="AG18" s="11"/>
      <c r="AH18" s="11"/>
      <c r="AI18" s="11"/>
      <c r="AJ18" s="11"/>
      <c r="AK18" s="11"/>
      <c r="AL18" s="11">
        <v>74744</v>
      </c>
      <c r="AM18" s="11">
        <v>74744</v>
      </c>
      <c r="AN18" s="11"/>
      <c r="AO18" s="11"/>
      <c r="AP18" s="11">
        <v>-53</v>
      </c>
      <c r="AQ18" s="11">
        <v>3392</v>
      </c>
      <c r="AR18" s="11">
        <v>562</v>
      </c>
      <c r="AS18" s="11"/>
      <c r="AT18" s="11"/>
      <c r="AU18" s="11"/>
      <c r="AV18" s="11">
        <v>89982</v>
      </c>
      <c r="AW18" s="11">
        <v>119975</v>
      </c>
      <c r="AX18" s="11"/>
      <c r="AY18" s="11"/>
      <c r="AZ18" s="11"/>
      <c r="BA18" s="11"/>
      <c r="BB18" s="11"/>
      <c r="BC18" s="11"/>
      <c r="BD18" s="11"/>
      <c r="BE18" s="11"/>
      <c r="BF18" s="11">
        <v>-85637</v>
      </c>
      <c r="BG18" s="11">
        <v>18546</v>
      </c>
      <c r="BH18" s="11"/>
      <c r="BI18" s="11"/>
      <c r="BJ18" s="11"/>
      <c r="BK18" s="11"/>
      <c r="BL18" s="11">
        <v>145376</v>
      </c>
      <c r="BM18" s="11">
        <v>145376</v>
      </c>
      <c r="BN18" s="11">
        <v>-32201</v>
      </c>
      <c r="BO18" s="11">
        <v>14623</v>
      </c>
      <c r="BP18" s="11"/>
      <c r="BQ18" s="11"/>
      <c r="BR18" s="98">
        <f t="shared" ref="BR18:BR25" si="6">B18+D18+F18+H18+J18+L18+N18+P18+R18+T18+V18+X18+Z18+AB18+AD18+AF18+AH18+AJ18+AL18+AN18+AP18+AR18+AT18+AV18+AX18+AZ18+BB18+BD18+BF18+BH18+BJ18+BL18+BN18+BP18</f>
        <v>681551</v>
      </c>
      <c r="BS18" s="98">
        <f t="shared" ref="BS18:BS25" si="7">C18+E18+G18+I18+K18+M18+O18+Q18+S18+U18+W18+Y18+AA18+AC18+AE18+AG18+AI18+AK18+AM18+AO18+AQ18+AS18+AU18+AW18+AY18+BA18+BC18+BE18+BG18+BI18+BK18+BM18+BO18+BQ18</f>
        <v>1633845</v>
      </c>
    </row>
    <row r="19" spans="1:71" x14ac:dyDescent="0.25">
      <c r="A19" s="3" t="s">
        <v>280</v>
      </c>
      <c r="B19" s="11"/>
      <c r="C19" s="11"/>
      <c r="D19" s="11"/>
      <c r="E19" s="11"/>
      <c r="F19" s="11">
        <v>-403</v>
      </c>
      <c r="G19" s="11">
        <v>-403</v>
      </c>
      <c r="H19" s="11"/>
      <c r="I19" s="11"/>
      <c r="J19" s="11">
        <v>294</v>
      </c>
      <c r="K19" s="11">
        <v>4547</v>
      </c>
      <c r="L19" s="11">
        <v>6800</v>
      </c>
      <c r="M19" s="11">
        <v>6800</v>
      </c>
      <c r="N19" s="11">
        <v>436087</v>
      </c>
      <c r="O19" s="11">
        <v>466967</v>
      </c>
      <c r="P19" s="11"/>
      <c r="Q19" s="11"/>
      <c r="R19" s="11"/>
      <c r="S19" s="11"/>
      <c r="T19" s="11"/>
      <c r="U19" s="11"/>
      <c r="V19" s="11">
        <v>322780.95</v>
      </c>
      <c r="W19" s="11">
        <v>322780.95</v>
      </c>
      <c r="X19" s="11"/>
      <c r="Y19" s="11"/>
      <c r="Z19" s="11"/>
      <c r="AA19" s="11"/>
      <c r="AB19" s="11">
        <v>-30108</v>
      </c>
      <c r="AC19" s="11">
        <v>-30108</v>
      </c>
      <c r="AD19" s="11">
        <v>77188</v>
      </c>
      <c r="AE19" s="11">
        <v>163882</v>
      </c>
      <c r="AF19" s="11"/>
      <c r="AG19" s="11"/>
      <c r="AH19" s="11"/>
      <c r="AI19" s="11"/>
      <c r="AJ19" s="11"/>
      <c r="AK19" s="11"/>
      <c r="AL19" s="11">
        <v>456</v>
      </c>
      <c r="AM19" s="11">
        <v>456</v>
      </c>
      <c r="AN19" s="11">
        <v>249678</v>
      </c>
      <c r="AO19" s="11">
        <v>251744</v>
      </c>
      <c r="AP19" s="11"/>
      <c r="AQ19" s="11"/>
      <c r="AR19" s="11">
        <v>32696</v>
      </c>
      <c r="AS19" s="11">
        <v>86376</v>
      </c>
      <c r="AT19" s="11">
        <v>186</v>
      </c>
      <c r="AU19" s="11">
        <v>186</v>
      </c>
      <c r="AV19" s="11"/>
      <c r="AW19" s="11"/>
      <c r="AX19" s="11">
        <v>-146</v>
      </c>
      <c r="AY19" s="11"/>
      <c r="AZ19" s="11"/>
      <c r="BA19" s="11"/>
      <c r="BB19" s="11"/>
      <c r="BC19" s="11"/>
      <c r="BD19" s="11">
        <v>5063</v>
      </c>
      <c r="BE19" s="11">
        <v>10127</v>
      </c>
      <c r="BF19" s="11"/>
      <c r="BG19" s="11"/>
      <c r="BH19" s="11">
        <v>377</v>
      </c>
      <c r="BI19" s="11">
        <v>604</v>
      </c>
      <c r="BJ19" s="11"/>
      <c r="BK19" s="11"/>
      <c r="BL19" s="11">
        <v>17483</v>
      </c>
      <c r="BM19" s="11">
        <v>23227</v>
      </c>
      <c r="BN19" s="11">
        <v>25453</v>
      </c>
      <c r="BO19" s="11">
        <v>26641</v>
      </c>
      <c r="BP19" s="11"/>
      <c r="BQ19" s="11"/>
      <c r="BR19" s="98">
        <f t="shared" si="6"/>
        <v>1143884.95</v>
      </c>
      <c r="BS19" s="98">
        <f t="shared" si="7"/>
        <v>1333826.95</v>
      </c>
    </row>
    <row r="20" spans="1:71" x14ac:dyDescent="0.25">
      <c r="A20" s="3" t="s">
        <v>63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v>1233</v>
      </c>
      <c r="O20" s="11">
        <v>1233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>
        <v>123918</v>
      </c>
      <c r="AS20" s="11">
        <v>123918</v>
      </c>
      <c r="AT20" s="11">
        <v>10004</v>
      </c>
      <c r="AU20" s="11">
        <v>22371</v>
      </c>
      <c r="AV20" s="11"/>
      <c r="AW20" s="11"/>
      <c r="AX20" s="11">
        <v>4</v>
      </c>
      <c r="AY20" s="11">
        <v>4</v>
      </c>
      <c r="AZ20" s="11"/>
      <c r="BA20" s="11"/>
      <c r="BB20" s="11"/>
      <c r="BC20" s="11"/>
      <c r="BD20" s="11">
        <v>43961</v>
      </c>
      <c r="BE20" s="11">
        <v>43961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98">
        <f t="shared" si="6"/>
        <v>179120</v>
      </c>
      <c r="BS20" s="98">
        <f t="shared" si="7"/>
        <v>191487</v>
      </c>
    </row>
    <row r="21" spans="1:71" x14ac:dyDescent="0.25">
      <c r="A21" s="4" t="s">
        <v>281</v>
      </c>
      <c r="B21" s="11">
        <f>B22-B20-B19-B18</f>
        <v>3207</v>
      </c>
      <c r="C21" s="11">
        <f t="shared" ref="C21:AI21" si="8">C22-C20-C19-C18</f>
        <v>11356</v>
      </c>
      <c r="D21" s="11">
        <f t="shared" si="8"/>
        <v>18324</v>
      </c>
      <c r="E21" s="11">
        <f t="shared" si="8"/>
        <v>25242</v>
      </c>
      <c r="F21" s="11">
        <f t="shared" si="8"/>
        <v>4490</v>
      </c>
      <c r="G21" s="11">
        <f t="shared" si="8"/>
        <v>18747</v>
      </c>
      <c r="H21" s="11">
        <f t="shared" si="8"/>
        <v>66191</v>
      </c>
      <c r="I21" s="11">
        <f t="shared" si="8"/>
        <v>114988</v>
      </c>
      <c r="J21" s="11">
        <f t="shared" si="8"/>
        <v>158837</v>
      </c>
      <c r="K21" s="11">
        <f t="shared" si="8"/>
        <v>264984</v>
      </c>
      <c r="L21" s="11">
        <f t="shared" si="8"/>
        <v>63952</v>
      </c>
      <c r="M21" s="11">
        <f t="shared" si="8"/>
        <v>126307</v>
      </c>
      <c r="N21" s="11">
        <f t="shared" si="8"/>
        <v>48505</v>
      </c>
      <c r="O21" s="11">
        <f t="shared" si="8"/>
        <v>101410</v>
      </c>
      <c r="P21" s="11">
        <f t="shared" si="8"/>
        <v>29085</v>
      </c>
      <c r="Q21" s="11">
        <f t="shared" si="8"/>
        <v>36328</v>
      </c>
      <c r="R21" s="11">
        <f t="shared" si="8"/>
        <v>12894</v>
      </c>
      <c r="S21" s="11">
        <f t="shared" si="8"/>
        <v>26280</v>
      </c>
      <c r="T21" s="11">
        <f t="shared" si="8"/>
        <v>1174</v>
      </c>
      <c r="U21" s="11">
        <f t="shared" si="8"/>
        <v>3712</v>
      </c>
      <c r="V21" s="11">
        <f t="shared" si="8"/>
        <v>19962.909999999974</v>
      </c>
      <c r="W21" s="11">
        <f t="shared" si="8"/>
        <v>43163</v>
      </c>
      <c r="X21" s="11">
        <f t="shared" si="8"/>
        <v>36783</v>
      </c>
      <c r="Y21" s="11">
        <f t="shared" si="8"/>
        <v>47819</v>
      </c>
      <c r="Z21" s="11">
        <f t="shared" si="8"/>
        <v>4268</v>
      </c>
      <c r="AA21" s="11">
        <f t="shared" si="8"/>
        <v>8202</v>
      </c>
      <c r="AB21" s="11">
        <f t="shared" si="8"/>
        <v>234078</v>
      </c>
      <c r="AC21" s="11">
        <f t="shared" si="8"/>
        <v>320241</v>
      </c>
      <c r="AD21" s="11">
        <f t="shared" si="8"/>
        <v>235249</v>
      </c>
      <c r="AE21" s="11">
        <f t="shared" si="8"/>
        <v>408369</v>
      </c>
      <c r="AF21" s="11">
        <f t="shared" si="8"/>
        <v>38500</v>
      </c>
      <c r="AG21" s="11">
        <f t="shared" si="8"/>
        <v>38500</v>
      </c>
      <c r="AH21" s="11">
        <f t="shared" si="8"/>
        <v>0</v>
      </c>
      <c r="AI21" s="11">
        <f t="shared" si="8"/>
        <v>0</v>
      </c>
      <c r="AJ21" s="11">
        <f t="shared" ref="AJ21:BQ21" si="9">AJ22-AJ20-AJ19-AJ18</f>
        <v>-174452</v>
      </c>
      <c r="AK21" s="11">
        <f t="shared" si="9"/>
        <v>33520</v>
      </c>
      <c r="AL21" s="11">
        <f t="shared" si="9"/>
        <v>39224</v>
      </c>
      <c r="AM21" s="11">
        <f t="shared" si="9"/>
        <v>70144</v>
      </c>
      <c r="AN21" s="11">
        <f t="shared" si="9"/>
        <v>261326</v>
      </c>
      <c r="AO21" s="11">
        <f t="shared" si="9"/>
        <v>591530</v>
      </c>
      <c r="AP21" s="11">
        <f t="shared" si="9"/>
        <v>189016</v>
      </c>
      <c r="AQ21" s="11">
        <f t="shared" si="9"/>
        <v>376037</v>
      </c>
      <c r="AR21" s="11">
        <f t="shared" si="9"/>
        <v>822945</v>
      </c>
      <c r="AS21" s="11">
        <f t="shared" si="9"/>
        <v>1621293</v>
      </c>
      <c r="AT21" s="11">
        <f t="shared" si="9"/>
        <v>338822</v>
      </c>
      <c r="AU21" s="11">
        <f t="shared" si="9"/>
        <v>343145</v>
      </c>
      <c r="AV21" s="11">
        <f t="shared" si="9"/>
        <v>107329</v>
      </c>
      <c r="AW21" s="11">
        <f t="shared" si="9"/>
        <v>210486</v>
      </c>
      <c r="AX21" s="11">
        <f t="shared" si="9"/>
        <v>79257</v>
      </c>
      <c r="AY21" s="11">
        <f t="shared" si="9"/>
        <v>161765</v>
      </c>
      <c r="AZ21" s="11">
        <f t="shared" si="9"/>
        <v>5941</v>
      </c>
      <c r="BA21" s="11">
        <f t="shared" si="9"/>
        <v>9462</v>
      </c>
      <c r="BB21" s="11">
        <f t="shared" si="9"/>
        <v>17424</v>
      </c>
      <c r="BC21" s="11">
        <f t="shared" si="9"/>
        <v>29698</v>
      </c>
      <c r="BD21" s="11">
        <f t="shared" si="9"/>
        <v>37406</v>
      </c>
      <c r="BE21" s="11">
        <f t="shared" si="9"/>
        <v>75232</v>
      </c>
      <c r="BF21" s="11">
        <f t="shared" si="9"/>
        <v>20391</v>
      </c>
      <c r="BG21" s="11">
        <f t="shared" si="9"/>
        <v>39011</v>
      </c>
      <c r="BH21" s="11">
        <f t="shared" si="9"/>
        <v>1964</v>
      </c>
      <c r="BI21" s="11">
        <f t="shared" si="9"/>
        <v>3240</v>
      </c>
      <c r="BJ21" s="11">
        <f t="shared" si="9"/>
        <v>74522</v>
      </c>
      <c r="BK21" s="11">
        <f t="shared" si="9"/>
        <v>147134</v>
      </c>
      <c r="BL21" s="11">
        <f t="shared" si="9"/>
        <v>69225</v>
      </c>
      <c r="BM21" s="11">
        <f t="shared" si="9"/>
        <v>124042</v>
      </c>
      <c r="BN21" s="11">
        <f t="shared" si="9"/>
        <v>268111</v>
      </c>
      <c r="BO21" s="11">
        <f t="shared" si="9"/>
        <v>461958</v>
      </c>
      <c r="BP21" s="11">
        <f t="shared" si="9"/>
        <v>10775</v>
      </c>
      <c r="BQ21" s="11">
        <f t="shared" si="9"/>
        <v>16402</v>
      </c>
      <c r="BR21" s="98">
        <f t="shared" si="6"/>
        <v>3144725.91</v>
      </c>
      <c r="BS21" s="98">
        <f t="shared" si="7"/>
        <v>5909747</v>
      </c>
    </row>
    <row r="22" spans="1:71" s="9" customFormat="1" x14ac:dyDescent="0.25">
      <c r="A22" s="4" t="s">
        <v>44</v>
      </c>
      <c r="B22" s="12">
        <v>15707</v>
      </c>
      <c r="C22" s="12">
        <v>23856</v>
      </c>
      <c r="D22" s="12">
        <v>25580</v>
      </c>
      <c r="E22" s="12">
        <v>40242</v>
      </c>
      <c r="F22" s="12">
        <v>4087</v>
      </c>
      <c r="G22" s="12">
        <v>18344</v>
      </c>
      <c r="H22" s="12">
        <v>182544</v>
      </c>
      <c r="I22" s="12">
        <v>231341</v>
      </c>
      <c r="J22" s="12">
        <v>159131</v>
      </c>
      <c r="K22" s="12">
        <v>1011925</v>
      </c>
      <c r="L22" s="12">
        <v>453252</v>
      </c>
      <c r="M22" s="12">
        <v>515607</v>
      </c>
      <c r="N22" s="12">
        <v>491253</v>
      </c>
      <c r="O22" s="12">
        <v>526500</v>
      </c>
      <c r="P22" s="12">
        <v>29085</v>
      </c>
      <c r="Q22" s="12">
        <v>36328</v>
      </c>
      <c r="R22" s="12">
        <v>12894</v>
      </c>
      <c r="S22" s="12">
        <v>26280</v>
      </c>
      <c r="T22" s="12">
        <v>15080</v>
      </c>
      <c r="U22" s="12">
        <v>55509</v>
      </c>
      <c r="V22" s="12">
        <v>342743.86</v>
      </c>
      <c r="W22" s="12">
        <v>365943.95</v>
      </c>
      <c r="X22" s="12">
        <v>36783</v>
      </c>
      <c r="Y22" s="12">
        <v>47819</v>
      </c>
      <c r="Z22" s="12">
        <v>4268</v>
      </c>
      <c r="AA22" s="12">
        <v>8202</v>
      </c>
      <c r="AB22" s="12">
        <v>152100</v>
      </c>
      <c r="AC22" s="12">
        <v>267183</v>
      </c>
      <c r="AD22" s="12">
        <v>315142</v>
      </c>
      <c r="AE22" s="12">
        <v>574956</v>
      </c>
      <c r="AF22" s="12">
        <v>38500</v>
      </c>
      <c r="AG22" s="12">
        <v>38500</v>
      </c>
      <c r="AH22" s="12"/>
      <c r="AI22" s="12"/>
      <c r="AJ22" s="12">
        <v>-174452</v>
      </c>
      <c r="AK22" s="12">
        <v>33520</v>
      </c>
      <c r="AL22" s="12">
        <v>114424</v>
      </c>
      <c r="AM22" s="12">
        <v>145344</v>
      </c>
      <c r="AN22" s="12">
        <v>511004</v>
      </c>
      <c r="AO22" s="12">
        <v>843274</v>
      </c>
      <c r="AP22" s="12">
        <v>188963</v>
      </c>
      <c r="AQ22" s="12">
        <v>379429</v>
      </c>
      <c r="AR22" s="12">
        <v>980121</v>
      </c>
      <c r="AS22" s="12">
        <v>1831587</v>
      </c>
      <c r="AT22" s="12">
        <v>349012</v>
      </c>
      <c r="AU22" s="12">
        <v>365702</v>
      </c>
      <c r="AV22" s="12">
        <v>197311</v>
      </c>
      <c r="AW22" s="12">
        <v>330461</v>
      </c>
      <c r="AX22" s="12">
        <v>79115</v>
      </c>
      <c r="AY22" s="12">
        <v>161769</v>
      </c>
      <c r="AZ22" s="12">
        <v>5941</v>
      </c>
      <c r="BA22" s="12">
        <v>9462</v>
      </c>
      <c r="BB22" s="12">
        <v>17424</v>
      </c>
      <c r="BC22" s="12">
        <v>29698</v>
      </c>
      <c r="BD22" s="12">
        <v>86430</v>
      </c>
      <c r="BE22" s="12">
        <v>129320</v>
      </c>
      <c r="BF22" s="12">
        <v>-65246</v>
      </c>
      <c r="BG22" s="12">
        <v>57557</v>
      </c>
      <c r="BH22" s="12">
        <v>2341</v>
      </c>
      <c r="BI22" s="12">
        <v>3844</v>
      </c>
      <c r="BJ22" s="12">
        <v>74522</v>
      </c>
      <c r="BK22" s="12">
        <v>147134</v>
      </c>
      <c r="BL22" s="12">
        <v>232084</v>
      </c>
      <c r="BM22" s="12">
        <v>292645</v>
      </c>
      <c r="BN22" s="12">
        <v>261363</v>
      </c>
      <c r="BO22" s="12">
        <v>503222</v>
      </c>
      <c r="BP22" s="12">
        <v>10775</v>
      </c>
      <c r="BQ22" s="12">
        <v>16402</v>
      </c>
      <c r="BR22" s="91">
        <f t="shared" si="6"/>
        <v>5149281.8599999994</v>
      </c>
      <c r="BS22" s="91">
        <f t="shared" si="7"/>
        <v>9068905.9499999993</v>
      </c>
    </row>
    <row r="23" spans="1:71" s="9" customFormat="1" x14ac:dyDescent="0.25">
      <c r="A23" s="4" t="s">
        <v>282</v>
      </c>
      <c r="B23" s="12">
        <f>B16-B22</f>
        <v>-518705</v>
      </c>
      <c r="C23" s="12">
        <f t="shared" ref="C23:AJ23" si="10">C16-C22</f>
        <v>-1001421</v>
      </c>
      <c r="D23" s="12">
        <f t="shared" si="10"/>
        <v>-693366</v>
      </c>
      <c r="E23" s="12">
        <f t="shared" si="10"/>
        <v>-1325835</v>
      </c>
      <c r="F23" s="12">
        <f t="shared" si="10"/>
        <v>-1797124</v>
      </c>
      <c r="G23" s="12">
        <f t="shared" si="10"/>
        <v>57769</v>
      </c>
      <c r="H23" s="12">
        <f t="shared" si="10"/>
        <v>-1487403</v>
      </c>
      <c r="I23" s="12">
        <f t="shared" si="10"/>
        <v>-2565264</v>
      </c>
      <c r="J23" s="12">
        <f t="shared" si="10"/>
        <v>3707185</v>
      </c>
      <c r="K23" s="12">
        <f t="shared" si="10"/>
        <v>6899423</v>
      </c>
      <c r="L23" s="12">
        <f t="shared" si="10"/>
        <v>-394550</v>
      </c>
      <c r="M23" s="12">
        <f t="shared" si="10"/>
        <v>-899182</v>
      </c>
      <c r="N23" s="12">
        <f t="shared" si="10"/>
        <v>660598</v>
      </c>
      <c r="O23" s="12">
        <f t="shared" si="10"/>
        <v>987598</v>
      </c>
      <c r="P23" s="12">
        <f t="shared" si="10"/>
        <v>-190857</v>
      </c>
      <c r="Q23" s="12">
        <f t="shared" si="10"/>
        <v>-530077</v>
      </c>
      <c r="R23" s="12">
        <f t="shared" si="10"/>
        <v>-91863</v>
      </c>
      <c r="S23" s="12">
        <f t="shared" si="10"/>
        <v>-76567</v>
      </c>
      <c r="T23" s="12">
        <f t="shared" si="10"/>
        <v>-162841</v>
      </c>
      <c r="U23" s="12">
        <f t="shared" si="10"/>
        <v>-302685</v>
      </c>
      <c r="V23" s="12">
        <f t="shared" si="10"/>
        <v>1716729.1400000001</v>
      </c>
      <c r="W23" s="12">
        <f t="shared" si="10"/>
        <v>4323154.8199999994</v>
      </c>
      <c r="X23" s="12">
        <f t="shared" si="10"/>
        <v>524099</v>
      </c>
      <c r="Y23" s="12">
        <f t="shared" si="10"/>
        <v>756031</v>
      </c>
      <c r="Z23" s="12">
        <f t="shared" si="10"/>
        <v>-371003</v>
      </c>
      <c r="AA23" s="12">
        <f t="shared" si="10"/>
        <v>-929132</v>
      </c>
      <c r="AB23" s="12">
        <f t="shared" si="10"/>
        <v>1359904</v>
      </c>
      <c r="AC23" s="12">
        <f t="shared" si="10"/>
        <v>2502718</v>
      </c>
      <c r="AD23" s="12">
        <f t="shared" si="10"/>
        <v>4610545</v>
      </c>
      <c r="AE23" s="12">
        <f t="shared" si="10"/>
        <v>9363268</v>
      </c>
      <c r="AF23" s="12">
        <f t="shared" si="10"/>
        <v>566852</v>
      </c>
      <c r="AG23" s="12">
        <f t="shared" si="10"/>
        <v>809944</v>
      </c>
      <c r="AH23" s="12">
        <f t="shared" si="10"/>
        <v>-78138</v>
      </c>
      <c r="AI23" s="12">
        <f t="shared" si="10"/>
        <v>-100020</v>
      </c>
      <c r="AJ23" s="12">
        <f t="shared" si="10"/>
        <v>-414266</v>
      </c>
      <c r="AK23" s="12">
        <f t="shared" ref="AK23:BQ23" si="11">AK16-AK22</f>
        <v>-846706</v>
      </c>
      <c r="AL23" s="12">
        <f t="shared" si="11"/>
        <v>82149</v>
      </c>
      <c r="AM23" s="12">
        <f t="shared" si="11"/>
        <v>27933</v>
      </c>
      <c r="AN23" s="12">
        <f t="shared" si="11"/>
        <v>-198852</v>
      </c>
      <c r="AO23" s="12">
        <f t="shared" si="11"/>
        <v>-956742</v>
      </c>
      <c r="AP23" s="12">
        <f t="shared" si="11"/>
        <v>-9406746.5556880441</v>
      </c>
      <c r="AQ23" s="12">
        <f t="shared" si="11"/>
        <v>-9161173.2569489665</v>
      </c>
      <c r="AR23" s="12">
        <f t="shared" si="11"/>
        <v>6041727</v>
      </c>
      <c r="AS23" s="12">
        <f t="shared" si="11"/>
        <v>9081480</v>
      </c>
      <c r="AT23" s="12">
        <f t="shared" si="11"/>
        <v>-1881154</v>
      </c>
      <c r="AU23" s="12">
        <f t="shared" si="11"/>
        <v>-3305325</v>
      </c>
      <c r="AV23" s="12">
        <f t="shared" si="11"/>
        <v>-170487</v>
      </c>
      <c r="AW23" s="12">
        <f t="shared" si="11"/>
        <v>-298747</v>
      </c>
      <c r="AX23" s="12">
        <f t="shared" si="11"/>
        <v>847283</v>
      </c>
      <c r="AY23" s="12">
        <f t="shared" si="11"/>
        <v>1569336</v>
      </c>
      <c r="AZ23" s="12">
        <f t="shared" si="11"/>
        <v>-194826</v>
      </c>
      <c r="BA23" s="12">
        <f t="shared" si="11"/>
        <v>-385985</v>
      </c>
      <c r="BB23" s="12">
        <f t="shared" si="11"/>
        <v>212955</v>
      </c>
      <c r="BC23" s="12">
        <f t="shared" si="11"/>
        <v>300341</v>
      </c>
      <c r="BD23" s="12">
        <f t="shared" si="11"/>
        <v>129942</v>
      </c>
      <c r="BE23" s="12">
        <f t="shared" si="11"/>
        <v>239789</v>
      </c>
      <c r="BF23" s="12">
        <f t="shared" si="11"/>
        <v>1650295</v>
      </c>
      <c r="BG23" s="12">
        <f t="shared" si="11"/>
        <v>2777436</v>
      </c>
      <c r="BH23" s="12">
        <f t="shared" si="11"/>
        <v>2123800</v>
      </c>
      <c r="BI23" s="12">
        <f t="shared" si="11"/>
        <v>4383501</v>
      </c>
      <c r="BJ23" s="12">
        <f t="shared" si="11"/>
        <v>-827174</v>
      </c>
      <c r="BK23" s="12">
        <f t="shared" si="11"/>
        <v>-1525126</v>
      </c>
      <c r="BL23" s="12">
        <f t="shared" si="11"/>
        <v>631445</v>
      </c>
      <c r="BM23" s="12">
        <f t="shared" si="11"/>
        <v>2054404</v>
      </c>
      <c r="BN23" s="12">
        <f t="shared" si="11"/>
        <v>-7905852</v>
      </c>
      <c r="BO23" s="12">
        <f t="shared" si="11"/>
        <v>-10909539</v>
      </c>
      <c r="BP23" s="12">
        <f t="shared" si="11"/>
        <v>326416</v>
      </c>
      <c r="BQ23" s="12">
        <f t="shared" si="11"/>
        <v>571741</v>
      </c>
      <c r="BR23" s="91">
        <f t="shared" si="6"/>
        <v>-1593283.4156880435</v>
      </c>
      <c r="BS23" s="91">
        <f t="shared" si="7"/>
        <v>11586340.563051034</v>
      </c>
    </row>
    <row r="24" spans="1:71" x14ac:dyDescent="0.25">
      <c r="A24" s="3" t="s">
        <v>284</v>
      </c>
      <c r="B24" s="11"/>
      <c r="C24" s="11"/>
      <c r="D24" s="11"/>
      <c r="E24" s="11"/>
      <c r="F24" s="11">
        <v>-453304</v>
      </c>
      <c r="G24" s="11">
        <v>194869</v>
      </c>
      <c r="H24" s="11"/>
      <c r="I24" s="11"/>
      <c r="J24" s="11">
        <v>770281</v>
      </c>
      <c r="K24" s="11">
        <v>1858044</v>
      </c>
      <c r="L24" s="11"/>
      <c r="M24" s="11"/>
      <c r="N24" s="11">
        <v>572125</v>
      </c>
      <c r="O24" s="11">
        <v>668100</v>
      </c>
      <c r="P24" s="11"/>
      <c r="Q24" s="11"/>
      <c r="R24" s="11"/>
      <c r="S24" s="11"/>
      <c r="T24" s="11"/>
      <c r="U24" s="11"/>
      <c r="V24" s="11">
        <f>-122175.42+410000</f>
        <v>287824.58</v>
      </c>
      <c r="W24" s="11">
        <f>-122175.42+1110000</f>
        <v>987824.58</v>
      </c>
      <c r="X24" s="11">
        <f>131774+179391</f>
        <v>311165</v>
      </c>
      <c r="Y24" s="11">
        <f>233334+158528</f>
        <v>391862</v>
      </c>
      <c r="Z24" s="11"/>
      <c r="AA24" s="11"/>
      <c r="AB24" s="11">
        <f>226847+50601</f>
        <v>277448</v>
      </c>
      <c r="AC24" s="11">
        <f>613717+55270</f>
        <v>668987</v>
      </c>
      <c r="AD24" s="11">
        <f>1006920+524605</f>
        <v>1531525</v>
      </c>
      <c r="AE24" s="11">
        <f>3421041-234960</f>
        <v>3186081</v>
      </c>
      <c r="AF24" s="11">
        <f>73900+80700</f>
        <v>154600</v>
      </c>
      <c r="AG24" s="11">
        <f>139900+84300</f>
        <v>224200</v>
      </c>
      <c r="AH24" s="11"/>
      <c r="AI24" s="11"/>
      <c r="AJ24" s="11"/>
      <c r="AK24" s="11"/>
      <c r="AL24" s="11"/>
      <c r="AM24" s="11">
        <v>-1</v>
      </c>
      <c r="AN24" s="11"/>
      <c r="AO24" s="11"/>
      <c r="AP24" s="11"/>
      <c r="AQ24" s="11"/>
      <c r="AR24" s="11">
        <f>799207-57180</f>
        <v>742027</v>
      </c>
      <c r="AS24" s="11">
        <f>1104305-103615</f>
        <v>1000690</v>
      </c>
      <c r="AT24" s="11"/>
      <c r="AU24" s="11"/>
      <c r="AV24" s="11">
        <v>-4607</v>
      </c>
      <c r="AW24" s="11">
        <v>-17324</v>
      </c>
      <c r="AX24" s="11">
        <f>160324+52313-97042</f>
        <v>115595</v>
      </c>
      <c r="AY24" s="11">
        <f>320095+52313-174121</f>
        <v>198287</v>
      </c>
      <c r="AZ24" s="11"/>
      <c r="BA24" s="11"/>
      <c r="BB24" s="11"/>
      <c r="BC24" s="11"/>
      <c r="BD24" s="11">
        <v>96414</v>
      </c>
      <c r="BE24" s="11">
        <v>132505</v>
      </c>
      <c r="BF24" s="11">
        <f>320100+120400</f>
        <v>440500</v>
      </c>
      <c r="BG24" s="11">
        <f>771900+45300</f>
        <v>817200</v>
      </c>
      <c r="BH24" s="11">
        <v>433832</v>
      </c>
      <c r="BI24" s="11">
        <v>1164720</v>
      </c>
      <c r="BJ24" s="11">
        <f>-532498+500195-3754</f>
        <v>-36057</v>
      </c>
      <c r="BK24" s="11">
        <f>-532498+500195-3754</f>
        <v>-36057</v>
      </c>
      <c r="BL24" s="11">
        <f>30701+83473</f>
        <v>114174</v>
      </c>
      <c r="BM24" s="11">
        <f>312453+197105</f>
        <v>509558</v>
      </c>
      <c r="BN24" s="11"/>
      <c r="BO24" s="11"/>
      <c r="BP24" s="11">
        <f>-1347+59948</f>
        <v>58601</v>
      </c>
      <c r="BQ24" s="11">
        <f>145518-15522</f>
        <v>129996</v>
      </c>
      <c r="BR24" s="98">
        <f t="shared" si="6"/>
        <v>5412143.5800000001</v>
      </c>
      <c r="BS24" s="98">
        <f t="shared" si="7"/>
        <v>12079541.58</v>
      </c>
    </row>
    <row r="25" spans="1:71" s="9" customFormat="1" x14ac:dyDescent="0.25">
      <c r="A25" s="4" t="s">
        <v>283</v>
      </c>
      <c r="B25" s="12">
        <f>B23-B24</f>
        <v>-518705</v>
      </c>
      <c r="C25" s="12">
        <f t="shared" ref="C25:AJ25" si="12">C23-C24</f>
        <v>-1001421</v>
      </c>
      <c r="D25" s="12">
        <f t="shared" si="12"/>
        <v>-693366</v>
      </c>
      <c r="E25" s="12">
        <f t="shared" si="12"/>
        <v>-1325835</v>
      </c>
      <c r="F25" s="12">
        <f t="shared" si="12"/>
        <v>-1343820</v>
      </c>
      <c r="G25" s="12">
        <f t="shared" si="12"/>
        <v>-137100</v>
      </c>
      <c r="H25" s="12">
        <f t="shared" si="12"/>
        <v>-1487403</v>
      </c>
      <c r="I25" s="12">
        <f t="shared" si="12"/>
        <v>-2565264</v>
      </c>
      <c r="J25" s="12">
        <f t="shared" si="12"/>
        <v>2936904</v>
      </c>
      <c r="K25" s="12">
        <f t="shared" si="12"/>
        <v>5041379</v>
      </c>
      <c r="L25" s="12">
        <f t="shared" si="12"/>
        <v>-394550</v>
      </c>
      <c r="M25" s="12">
        <f t="shared" si="12"/>
        <v>-899182</v>
      </c>
      <c r="N25" s="12">
        <f t="shared" si="12"/>
        <v>88473</v>
      </c>
      <c r="O25" s="12">
        <f t="shared" si="12"/>
        <v>319498</v>
      </c>
      <c r="P25" s="12">
        <f t="shared" si="12"/>
        <v>-190857</v>
      </c>
      <c r="Q25" s="12">
        <f t="shared" si="12"/>
        <v>-530077</v>
      </c>
      <c r="R25" s="12">
        <f t="shared" si="12"/>
        <v>-91863</v>
      </c>
      <c r="S25" s="12">
        <f t="shared" si="12"/>
        <v>-76567</v>
      </c>
      <c r="T25" s="12">
        <f t="shared" si="12"/>
        <v>-162841</v>
      </c>
      <c r="U25" s="12">
        <f t="shared" si="12"/>
        <v>-302685</v>
      </c>
      <c r="V25" s="12">
        <f t="shared" si="12"/>
        <v>1428904.56</v>
      </c>
      <c r="W25" s="12">
        <f t="shared" si="12"/>
        <v>3335330.2399999993</v>
      </c>
      <c r="X25" s="12">
        <f t="shared" si="12"/>
        <v>212934</v>
      </c>
      <c r="Y25" s="12">
        <f t="shared" si="12"/>
        <v>364169</v>
      </c>
      <c r="Z25" s="12">
        <f t="shared" si="12"/>
        <v>-371003</v>
      </c>
      <c r="AA25" s="12">
        <f t="shared" si="12"/>
        <v>-929132</v>
      </c>
      <c r="AB25" s="12">
        <f t="shared" si="12"/>
        <v>1082456</v>
      </c>
      <c r="AC25" s="12">
        <f t="shared" si="12"/>
        <v>1833731</v>
      </c>
      <c r="AD25" s="12">
        <f t="shared" si="12"/>
        <v>3079020</v>
      </c>
      <c r="AE25" s="12">
        <f t="shared" si="12"/>
        <v>6177187</v>
      </c>
      <c r="AF25" s="12">
        <f t="shared" si="12"/>
        <v>412252</v>
      </c>
      <c r="AG25" s="12">
        <f t="shared" si="12"/>
        <v>585744</v>
      </c>
      <c r="AH25" s="12">
        <f t="shared" si="12"/>
        <v>-78138</v>
      </c>
      <c r="AI25" s="12">
        <f t="shared" si="12"/>
        <v>-100020</v>
      </c>
      <c r="AJ25" s="12">
        <f t="shared" si="12"/>
        <v>-414266</v>
      </c>
      <c r="AK25" s="12">
        <f t="shared" ref="AK25:BQ25" si="13">AK23-AK24</f>
        <v>-846706</v>
      </c>
      <c r="AL25" s="12">
        <f t="shared" si="13"/>
        <v>82149</v>
      </c>
      <c r="AM25" s="12">
        <f t="shared" si="13"/>
        <v>27934</v>
      </c>
      <c r="AN25" s="12">
        <f t="shared" si="13"/>
        <v>-198852</v>
      </c>
      <c r="AO25" s="12">
        <f t="shared" si="13"/>
        <v>-956742</v>
      </c>
      <c r="AP25" s="12">
        <f t="shared" si="13"/>
        <v>-9406746.5556880441</v>
      </c>
      <c r="AQ25" s="12">
        <f t="shared" si="13"/>
        <v>-9161173.2569489665</v>
      </c>
      <c r="AR25" s="12">
        <f t="shared" si="13"/>
        <v>5299700</v>
      </c>
      <c r="AS25" s="12">
        <f t="shared" si="13"/>
        <v>8080790</v>
      </c>
      <c r="AT25" s="12">
        <f t="shared" si="13"/>
        <v>-1881154</v>
      </c>
      <c r="AU25" s="12">
        <f t="shared" si="13"/>
        <v>-3305325</v>
      </c>
      <c r="AV25" s="12">
        <f t="shared" si="13"/>
        <v>-165880</v>
      </c>
      <c r="AW25" s="12">
        <f t="shared" si="13"/>
        <v>-281423</v>
      </c>
      <c r="AX25" s="12">
        <f t="shared" si="13"/>
        <v>731688</v>
      </c>
      <c r="AY25" s="12">
        <f t="shared" si="13"/>
        <v>1371049</v>
      </c>
      <c r="AZ25" s="12">
        <f t="shared" si="13"/>
        <v>-194826</v>
      </c>
      <c r="BA25" s="12">
        <f t="shared" si="13"/>
        <v>-385985</v>
      </c>
      <c r="BB25" s="12">
        <f t="shared" si="13"/>
        <v>212955</v>
      </c>
      <c r="BC25" s="12">
        <f t="shared" si="13"/>
        <v>300341</v>
      </c>
      <c r="BD25" s="12">
        <f t="shared" si="13"/>
        <v>33528</v>
      </c>
      <c r="BE25" s="12">
        <f t="shared" si="13"/>
        <v>107284</v>
      </c>
      <c r="BF25" s="12">
        <f t="shared" si="13"/>
        <v>1209795</v>
      </c>
      <c r="BG25" s="12">
        <f t="shared" si="13"/>
        <v>1960236</v>
      </c>
      <c r="BH25" s="12">
        <f t="shared" si="13"/>
        <v>1689968</v>
      </c>
      <c r="BI25" s="12">
        <f t="shared" si="13"/>
        <v>3218781</v>
      </c>
      <c r="BJ25" s="12">
        <f t="shared" si="13"/>
        <v>-791117</v>
      </c>
      <c r="BK25" s="12">
        <f t="shared" si="13"/>
        <v>-1489069</v>
      </c>
      <c r="BL25" s="12">
        <f t="shared" si="13"/>
        <v>517271</v>
      </c>
      <c r="BM25" s="12">
        <f t="shared" si="13"/>
        <v>1544846</v>
      </c>
      <c r="BN25" s="12">
        <f t="shared" si="13"/>
        <v>-7905852</v>
      </c>
      <c r="BO25" s="12">
        <f t="shared" si="13"/>
        <v>-10909539</v>
      </c>
      <c r="BP25" s="12">
        <f t="shared" si="13"/>
        <v>267815</v>
      </c>
      <c r="BQ25" s="12">
        <f t="shared" si="13"/>
        <v>441745</v>
      </c>
      <c r="BR25" s="91">
        <f t="shared" si="6"/>
        <v>-7005426.9956880435</v>
      </c>
      <c r="BS25" s="91">
        <f t="shared" si="7"/>
        <v>-493201.01694896817</v>
      </c>
    </row>
  </sheetData>
  <mergeCells count="35">
    <mergeCell ref="AT3:AU3"/>
    <mergeCell ref="BD3:BE3"/>
    <mergeCell ref="BF3:BG3"/>
    <mergeCell ref="BR3:BS3"/>
    <mergeCell ref="BJ3:BK3"/>
    <mergeCell ref="BL3:BM3"/>
    <mergeCell ref="BN3:BO3"/>
    <mergeCell ref="BP3:BQ3"/>
    <mergeCell ref="BH3:BI3"/>
    <mergeCell ref="AX3:AY3"/>
    <mergeCell ref="AZ3:BA3"/>
    <mergeCell ref="BB3:BC3"/>
    <mergeCell ref="AV3:AW3"/>
    <mergeCell ref="AJ3:AK3"/>
    <mergeCell ref="AL3:AM3"/>
    <mergeCell ref="AN3:AO3"/>
    <mergeCell ref="AP3:AQ3"/>
    <mergeCell ref="AR3:AS3"/>
    <mergeCell ref="Z3:AA3"/>
    <mergeCell ref="AB3:AC3"/>
    <mergeCell ref="AD3:AE3"/>
    <mergeCell ref="AF3:AG3"/>
    <mergeCell ref="AH3:AI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8" t="s">
        <v>298</v>
      </c>
    </row>
    <row r="2" spans="1:36" x14ac:dyDescent="0.25">
      <c r="A2" s="19" t="s">
        <v>48</v>
      </c>
    </row>
    <row r="3" spans="1:36" x14ac:dyDescent="0.25">
      <c r="A3" s="1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14</v>
      </c>
      <c r="P3" s="40" t="s">
        <v>15</v>
      </c>
      <c r="Q3" s="40" t="s">
        <v>16</v>
      </c>
      <c r="R3" s="40" t="s">
        <v>17</v>
      </c>
      <c r="S3" s="40" t="s">
        <v>18</v>
      </c>
      <c r="T3" s="40" t="s">
        <v>19</v>
      </c>
      <c r="U3" s="40" t="s">
        <v>20</v>
      </c>
      <c r="V3" s="40" t="s">
        <v>21</v>
      </c>
      <c r="W3" s="40" t="s">
        <v>22</v>
      </c>
      <c r="X3" s="40" t="s">
        <v>23</v>
      </c>
      <c r="Y3" s="40" t="s">
        <v>24</v>
      </c>
      <c r="Z3" s="40" t="s">
        <v>25</v>
      </c>
      <c r="AA3" s="40" t="s">
        <v>26</v>
      </c>
      <c r="AB3" s="40" t="s">
        <v>27</v>
      </c>
      <c r="AC3" s="40" t="s">
        <v>28</v>
      </c>
      <c r="AD3" s="40" t="s">
        <v>29</v>
      </c>
      <c r="AE3" s="40" t="s">
        <v>30</v>
      </c>
      <c r="AF3" s="40" t="s">
        <v>31</v>
      </c>
      <c r="AG3" s="40" t="s">
        <v>32</v>
      </c>
      <c r="AH3" s="41" t="s">
        <v>33</v>
      </c>
      <c r="AI3" s="40" t="s">
        <v>34</v>
      </c>
      <c r="AJ3" s="94" t="s">
        <v>35</v>
      </c>
    </row>
    <row r="4" spans="1:36" x14ac:dyDescent="0.25">
      <c r="A4" s="4" t="s">
        <v>246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91"/>
    </row>
    <row r="5" spans="1:36" x14ac:dyDescent="0.25">
      <c r="A5" s="28" t="s">
        <v>247</v>
      </c>
      <c r="B5" s="11">
        <v>3810000</v>
      </c>
      <c r="C5" s="11">
        <v>2693436</v>
      </c>
      <c r="D5" s="11">
        <v>2000000</v>
      </c>
      <c r="E5" s="11">
        <v>4018275</v>
      </c>
      <c r="F5" s="11">
        <v>1102273</v>
      </c>
      <c r="G5" s="11">
        <v>17209812</v>
      </c>
      <c r="H5" s="11">
        <v>2988057</v>
      </c>
      <c r="I5" s="11">
        <v>5957650</v>
      </c>
      <c r="J5" s="11">
        <v>1900500</v>
      </c>
      <c r="K5" s="11">
        <v>2280000</v>
      </c>
      <c r="L5" s="11">
        <v>23891700</v>
      </c>
      <c r="M5" s="11">
        <v>8598037</v>
      </c>
      <c r="N5" s="11">
        <v>7295652</v>
      </c>
      <c r="O5" s="11">
        <v>6058421</v>
      </c>
      <c r="P5" s="11">
        <v>4544285</v>
      </c>
      <c r="Q5" s="11">
        <v>2742183</v>
      </c>
      <c r="R5" s="11">
        <v>3050000</v>
      </c>
      <c r="S5" s="11">
        <v>10859752</v>
      </c>
      <c r="T5" s="11">
        <v>1437500</v>
      </c>
      <c r="U5" s="11">
        <v>10980000</v>
      </c>
      <c r="V5" s="11">
        <v>1000000</v>
      </c>
      <c r="W5" s="11">
        <v>8240000</v>
      </c>
      <c r="X5" s="11">
        <v>2000000</v>
      </c>
      <c r="Y5" s="11">
        <v>2070000</v>
      </c>
      <c r="Z5" s="11">
        <v>2515499</v>
      </c>
      <c r="AA5" s="11">
        <v>1865500</v>
      </c>
      <c r="AB5" s="11">
        <v>6968343</v>
      </c>
      <c r="AC5" s="11">
        <v>4490000</v>
      </c>
      <c r="AD5" s="11">
        <v>2155000</v>
      </c>
      <c r="AE5" s="11">
        <v>2590769</v>
      </c>
      <c r="AF5" s="11">
        <v>4801065</v>
      </c>
      <c r="AG5" s="11">
        <v>9944560</v>
      </c>
      <c r="AH5" s="11">
        <v>1500000</v>
      </c>
      <c r="AI5" s="11">
        <v>3681818</v>
      </c>
      <c r="AJ5" s="92">
        <f>SUM(B5:AI5)</f>
        <v>177240087</v>
      </c>
    </row>
    <row r="6" spans="1:36" x14ac:dyDescent="0.25">
      <c r="A6" s="28" t="s">
        <v>248</v>
      </c>
      <c r="B6" s="11"/>
      <c r="C6" s="11">
        <v>6706564</v>
      </c>
      <c r="D6" s="11">
        <v>37670953</v>
      </c>
      <c r="E6" s="11">
        <v>5367264</v>
      </c>
      <c r="F6" s="11">
        <v>53467876</v>
      </c>
      <c r="G6" s="11">
        <v>1720185</v>
      </c>
      <c r="H6" s="11">
        <v>11865977</v>
      </c>
      <c r="I6" s="11">
        <v>3272020</v>
      </c>
      <c r="J6" s="11"/>
      <c r="K6" s="11"/>
      <c r="L6" s="11">
        <v>27248626.719999999</v>
      </c>
      <c r="M6" s="11">
        <v>152829</v>
      </c>
      <c r="N6" s="11">
        <v>2653098</v>
      </c>
      <c r="O6" s="11">
        <v>15640660</v>
      </c>
      <c r="P6" s="11">
        <v>52940091</v>
      </c>
      <c r="Q6" s="11">
        <v>20379135</v>
      </c>
      <c r="R6" s="11"/>
      <c r="S6" s="11">
        <v>6483749</v>
      </c>
      <c r="T6" s="11">
        <v>2381367</v>
      </c>
      <c r="U6" s="11"/>
      <c r="V6" s="11">
        <v>195760</v>
      </c>
      <c r="W6" s="11">
        <v>158307165</v>
      </c>
      <c r="X6" s="11">
        <v>23324954</v>
      </c>
      <c r="Y6" s="11"/>
      <c r="Z6" s="11">
        <v>14723669</v>
      </c>
      <c r="AA6" s="11"/>
      <c r="AB6" s="11">
        <v>474618</v>
      </c>
      <c r="AC6" s="11">
        <v>7074568</v>
      </c>
      <c r="AD6" s="11">
        <v>17828512</v>
      </c>
      <c r="AE6" s="11">
        <v>15822792</v>
      </c>
      <c r="AF6" s="11">
        <v>9118151</v>
      </c>
      <c r="AG6" s="11">
        <v>13620187</v>
      </c>
      <c r="AH6" s="11">
        <v>17038358</v>
      </c>
      <c r="AI6" s="11">
        <v>5305733</v>
      </c>
      <c r="AJ6" s="92">
        <f t="shared" ref="AJ6:AJ10" si="0">SUM(B6:AI6)</f>
        <v>530784861.72000003</v>
      </c>
    </row>
    <row r="7" spans="1:36" x14ac:dyDescent="0.25">
      <c r="A7" s="28" t="s">
        <v>249</v>
      </c>
      <c r="B7" s="11">
        <f>447+654</f>
        <v>1101</v>
      </c>
      <c r="C7" s="11">
        <v>325</v>
      </c>
      <c r="D7" s="11">
        <v>82016</v>
      </c>
      <c r="E7" s="11">
        <v>317</v>
      </c>
      <c r="F7" s="11">
        <v>961706</v>
      </c>
      <c r="G7" s="11">
        <f>-7227-993</f>
        <v>-8220</v>
      </c>
      <c r="H7" s="11">
        <f>2068+33553</f>
        <v>35621</v>
      </c>
      <c r="I7" s="11">
        <v>575</v>
      </c>
      <c r="J7" s="11">
        <v>45</v>
      </c>
      <c r="K7" s="11">
        <v>16990</v>
      </c>
      <c r="L7" s="11">
        <v>2602012.06</v>
      </c>
      <c r="M7" s="11">
        <f>-109880-24575</f>
        <v>-134455</v>
      </c>
      <c r="N7" s="11">
        <v>6312</v>
      </c>
      <c r="O7" s="11">
        <f>-29470-111271</f>
        <v>-140741</v>
      </c>
      <c r="P7" s="11">
        <f>235387+776916</f>
        <v>1012303</v>
      </c>
      <c r="Q7" s="11">
        <f>-2584-10039</f>
        <v>-12623</v>
      </c>
      <c r="R7" s="11">
        <f>1679+3720</f>
        <v>5399</v>
      </c>
      <c r="S7" s="11">
        <f>783+1847</f>
        <v>2630</v>
      </c>
      <c r="T7" s="11">
        <v>252</v>
      </c>
      <c r="U7" s="11">
        <v>2377</v>
      </c>
      <c r="V7" s="11">
        <v>13808279</v>
      </c>
      <c r="W7" s="11">
        <v>191143386</v>
      </c>
      <c r="X7" s="11">
        <v>58104809</v>
      </c>
      <c r="Y7" s="11">
        <f>488+831</f>
        <v>1319</v>
      </c>
      <c r="Z7" s="11">
        <f>-91437-542217</f>
        <v>-633654</v>
      </c>
      <c r="AA7" s="11">
        <v>27</v>
      </c>
      <c r="AB7" s="11">
        <v>-18252</v>
      </c>
      <c r="AC7" s="11">
        <v>-121465</v>
      </c>
      <c r="AD7" s="11">
        <f>-195711+509</f>
        <v>-195202</v>
      </c>
      <c r="AE7" s="11">
        <v>-116544</v>
      </c>
      <c r="AF7" s="11">
        <v>5332</v>
      </c>
      <c r="AG7" s="11">
        <f>10924+46257</f>
        <v>57181</v>
      </c>
      <c r="AH7" s="11">
        <f>19991910+2310533</f>
        <v>22302443</v>
      </c>
      <c r="AI7" s="11">
        <f>2227+6829</f>
        <v>9056</v>
      </c>
      <c r="AJ7" s="92">
        <f t="shared" si="0"/>
        <v>288780657.06</v>
      </c>
    </row>
    <row r="8" spans="1:36" x14ac:dyDescent="0.25">
      <c r="A8" s="28" t="s">
        <v>250</v>
      </c>
      <c r="B8" s="11"/>
      <c r="C8" s="11"/>
      <c r="D8" s="11"/>
      <c r="E8" s="11">
        <v>1540000</v>
      </c>
      <c r="F8" s="11"/>
      <c r="G8" s="11">
        <v>2550000</v>
      </c>
      <c r="H8" s="11">
        <v>1000000</v>
      </c>
      <c r="I8" s="11">
        <v>430000</v>
      </c>
      <c r="J8" s="11"/>
      <c r="K8" s="11"/>
      <c r="L8" s="11"/>
      <c r="M8" s="11"/>
      <c r="N8" s="11"/>
      <c r="O8" s="11">
        <v>3500000</v>
      </c>
      <c r="P8" s="11">
        <v>4850000</v>
      </c>
      <c r="Q8" s="11"/>
      <c r="R8" s="11"/>
      <c r="S8" s="11"/>
      <c r="T8" s="11">
        <v>8085</v>
      </c>
      <c r="U8" s="11"/>
      <c r="V8" s="11">
        <v>8950000</v>
      </c>
      <c r="W8" s="11"/>
      <c r="X8" s="11">
        <v>7500000</v>
      </c>
      <c r="Y8" s="11"/>
      <c r="Z8" s="11">
        <v>2300000</v>
      </c>
      <c r="AA8" s="11"/>
      <c r="AB8" s="11"/>
      <c r="AC8" s="11">
        <v>1000000</v>
      </c>
      <c r="AD8" s="11"/>
      <c r="AE8" s="11"/>
      <c r="AF8" s="11">
        <v>2500000</v>
      </c>
      <c r="AG8" s="11">
        <v>1780000</v>
      </c>
      <c r="AH8" s="11">
        <v>9000000</v>
      </c>
      <c r="AI8" s="11"/>
      <c r="AJ8" s="92">
        <f t="shared" si="0"/>
        <v>46908085</v>
      </c>
    </row>
    <row r="9" spans="1:36" x14ac:dyDescent="0.25">
      <c r="A9" s="28" t="s">
        <v>46</v>
      </c>
      <c r="B9" s="11">
        <f>B10-B8-B7-B6-B5</f>
        <v>0</v>
      </c>
      <c r="C9" s="11">
        <f t="shared" ref="C9:AI9" si="1">C10-C8-C7-C6-C5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11">
        <f t="shared" si="1"/>
        <v>36548</v>
      </c>
      <c r="N9" s="11">
        <f t="shared" si="1"/>
        <v>0</v>
      </c>
      <c r="O9" s="11">
        <f t="shared" si="1"/>
        <v>0</v>
      </c>
      <c r="P9" s="11">
        <f t="shared" si="1"/>
        <v>1037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19979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574</v>
      </c>
      <c r="AF9" s="11">
        <f t="shared" si="1"/>
        <v>-1313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92">
        <f t="shared" si="0"/>
        <v>56825</v>
      </c>
    </row>
    <row r="10" spans="1:36" s="9" customFormat="1" x14ac:dyDescent="0.25">
      <c r="A10" s="4" t="s">
        <v>56</v>
      </c>
      <c r="B10" s="12">
        <v>3811101</v>
      </c>
      <c r="C10" s="12">
        <v>9400325</v>
      </c>
      <c r="D10" s="12">
        <v>39752969</v>
      </c>
      <c r="E10" s="12">
        <v>10925856</v>
      </c>
      <c r="F10" s="12">
        <v>55531855</v>
      </c>
      <c r="G10" s="12">
        <v>21471777</v>
      </c>
      <c r="H10" s="12">
        <v>15889655</v>
      </c>
      <c r="I10" s="12">
        <v>9660245</v>
      </c>
      <c r="J10" s="12">
        <v>1900545</v>
      </c>
      <c r="K10" s="12">
        <v>2296990</v>
      </c>
      <c r="L10" s="12">
        <v>53742338.780000001</v>
      </c>
      <c r="M10" s="12">
        <v>8652959</v>
      </c>
      <c r="N10" s="12">
        <v>9955062</v>
      </c>
      <c r="O10" s="12">
        <v>25058340</v>
      </c>
      <c r="P10" s="12">
        <v>63347716</v>
      </c>
      <c r="Q10" s="12">
        <v>23108695</v>
      </c>
      <c r="R10" s="12">
        <v>3055399</v>
      </c>
      <c r="S10" s="12">
        <v>17346131</v>
      </c>
      <c r="T10" s="12">
        <v>3847183</v>
      </c>
      <c r="U10" s="12">
        <v>10982377</v>
      </c>
      <c r="V10" s="12">
        <v>23954039</v>
      </c>
      <c r="W10" s="12">
        <v>357690551</v>
      </c>
      <c r="X10" s="12">
        <v>90929763</v>
      </c>
      <c r="Y10" s="12">
        <v>2071319</v>
      </c>
      <c r="Z10" s="12">
        <v>18905514</v>
      </c>
      <c r="AA10" s="12">
        <v>1865527</v>
      </c>
      <c r="AB10" s="12">
        <v>7424709</v>
      </c>
      <c r="AC10" s="12">
        <v>12443103</v>
      </c>
      <c r="AD10" s="12">
        <v>19788310</v>
      </c>
      <c r="AE10" s="12">
        <v>18297591</v>
      </c>
      <c r="AF10" s="12">
        <v>16423235</v>
      </c>
      <c r="AG10" s="12">
        <v>25401928</v>
      </c>
      <c r="AH10" s="12">
        <v>49840801</v>
      </c>
      <c r="AI10" s="12">
        <v>8996607</v>
      </c>
      <c r="AJ10" s="91">
        <f t="shared" si="0"/>
        <v>1043770515.78</v>
      </c>
    </row>
    <row r="11" spans="1:36" s="9" customFormat="1" x14ac:dyDescent="0.25">
      <c r="A11" s="4" t="s">
        <v>251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91"/>
    </row>
    <row r="12" spans="1:36" x14ac:dyDescent="0.25">
      <c r="A12" s="28" t="s">
        <v>252</v>
      </c>
      <c r="B12" s="11">
        <v>1403250</v>
      </c>
      <c r="C12" s="11">
        <v>2054083</v>
      </c>
      <c r="D12" s="11"/>
      <c r="E12" s="11">
        <v>300000</v>
      </c>
      <c r="F12" s="11"/>
      <c r="G12" s="11">
        <v>5543409</v>
      </c>
      <c r="H12" s="11">
        <v>7583460</v>
      </c>
      <c r="I12" s="11">
        <v>1585790</v>
      </c>
      <c r="J12" s="11">
        <v>472827</v>
      </c>
      <c r="K12" s="11">
        <v>1978317</v>
      </c>
      <c r="L12" s="11"/>
      <c r="M12" s="11"/>
      <c r="N12" s="11">
        <v>7668970</v>
      </c>
      <c r="O12" s="11">
        <v>21792470</v>
      </c>
      <c r="P12" s="11">
        <v>56204229</v>
      </c>
      <c r="Q12" s="11">
        <v>18851321</v>
      </c>
      <c r="R12" s="11">
        <v>1702615</v>
      </c>
      <c r="S12" s="11">
        <v>7097095</v>
      </c>
      <c r="T12" s="11">
        <v>2854083</v>
      </c>
      <c r="U12" s="11">
        <v>3104595</v>
      </c>
      <c r="V12" s="11">
        <v>4201565.7490365915</v>
      </c>
      <c r="W12" s="11"/>
      <c r="X12" s="11"/>
      <c r="Y12" s="11">
        <v>1576720</v>
      </c>
      <c r="Z12" s="11">
        <v>14506964</v>
      </c>
      <c r="AA12" s="11">
        <v>25118</v>
      </c>
      <c r="AB12" s="11"/>
      <c r="AC12" s="11">
        <v>10790618</v>
      </c>
      <c r="AD12" s="11">
        <v>14218301</v>
      </c>
      <c r="AE12" s="11"/>
      <c r="AF12" s="11"/>
      <c r="AG12" s="11">
        <v>22236758</v>
      </c>
      <c r="AH12" s="11"/>
      <c r="AI12" s="11">
        <v>6624736</v>
      </c>
      <c r="AJ12" s="92">
        <f t="shared" ref="AJ12:AJ28" si="2">SUM(B12:AI12)</f>
        <v>214377294.74903658</v>
      </c>
    </row>
    <row r="13" spans="1:36" x14ac:dyDescent="0.25">
      <c r="A13" s="28" t="s">
        <v>253</v>
      </c>
      <c r="B13" s="11">
        <v>2051327</v>
      </c>
      <c r="C13" s="11">
        <f>-25000+4455598</f>
        <v>4430598</v>
      </c>
      <c r="D13" s="11"/>
      <c r="E13" s="11">
        <v>13814175</v>
      </c>
      <c r="F13" s="11"/>
      <c r="G13" s="11">
        <v>40345727</v>
      </c>
      <c r="H13" s="11">
        <v>77231163</v>
      </c>
      <c r="I13" s="11">
        <v>3552088</v>
      </c>
      <c r="J13" s="11">
        <v>2222951</v>
      </c>
      <c r="K13" s="11">
        <v>254787</v>
      </c>
      <c r="L13" s="11"/>
      <c r="M13" s="11"/>
      <c r="N13" s="11">
        <v>15080248</v>
      </c>
      <c r="O13" s="11">
        <v>82280772</v>
      </c>
      <c r="P13" s="11">
        <v>183788774</v>
      </c>
      <c r="Q13" s="11">
        <v>73232137</v>
      </c>
      <c r="R13" s="11">
        <v>4050977</v>
      </c>
      <c r="S13" s="11">
        <v>16718300</v>
      </c>
      <c r="T13" s="11">
        <v>15802308</v>
      </c>
      <c r="U13" s="11">
        <v>6138087</v>
      </c>
      <c r="V13" s="11">
        <v>226807225.76819354</v>
      </c>
      <c r="W13" s="11"/>
      <c r="X13" s="11"/>
      <c r="Y13" s="11">
        <v>2681514</v>
      </c>
      <c r="Z13" s="11">
        <v>86025464</v>
      </c>
      <c r="AA13" s="11">
        <v>64840</v>
      </c>
      <c r="AB13" s="11"/>
      <c r="AC13" s="11">
        <v>43445192</v>
      </c>
      <c r="AD13" s="11">
        <v>51831242</v>
      </c>
      <c r="AE13" s="11"/>
      <c r="AF13" s="11"/>
      <c r="AG13" s="11">
        <v>94159340</v>
      </c>
      <c r="AH13" s="11"/>
      <c r="AI13" s="11">
        <v>20317840</v>
      </c>
      <c r="AJ13" s="92">
        <f t="shared" si="2"/>
        <v>1066327076.7681935</v>
      </c>
    </row>
    <row r="14" spans="1:36" s="46" customFormat="1" x14ac:dyDescent="0.25">
      <c r="A14" s="20" t="s">
        <v>254</v>
      </c>
      <c r="B14" s="45">
        <f>B12+B13</f>
        <v>3454577</v>
      </c>
      <c r="C14" s="45">
        <f t="shared" ref="C14:AI14" si="3">C12+C13</f>
        <v>6484681</v>
      </c>
      <c r="D14" s="45">
        <v>75443863</v>
      </c>
      <c r="E14" s="45">
        <f t="shared" si="3"/>
        <v>14114175</v>
      </c>
      <c r="F14" s="45">
        <v>177954970</v>
      </c>
      <c r="G14" s="45">
        <f t="shared" si="3"/>
        <v>45889136</v>
      </c>
      <c r="H14" s="45">
        <f t="shared" si="3"/>
        <v>84814623</v>
      </c>
      <c r="I14" s="45">
        <f t="shared" si="3"/>
        <v>5137878</v>
      </c>
      <c r="J14" s="45">
        <f t="shared" si="3"/>
        <v>2695778</v>
      </c>
      <c r="K14" s="45">
        <f t="shared" si="3"/>
        <v>2233104</v>
      </c>
      <c r="L14" s="45">
        <v>104582144.42</v>
      </c>
      <c r="M14" s="45">
        <v>41941862</v>
      </c>
      <c r="N14" s="45">
        <f t="shared" si="3"/>
        <v>22749218</v>
      </c>
      <c r="O14" s="45">
        <f t="shared" si="3"/>
        <v>104073242</v>
      </c>
      <c r="P14" s="45">
        <f t="shared" si="3"/>
        <v>239993003</v>
      </c>
      <c r="Q14" s="45">
        <f t="shared" si="3"/>
        <v>92083458</v>
      </c>
      <c r="R14" s="45">
        <f t="shared" si="3"/>
        <v>5753592</v>
      </c>
      <c r="S14" s="45">
        <f t="shared" si="3"/>
        <v>23815395</v>
      </c>
      <c r="T14" s="45">
        <f t="shared" si="3"/>
        <v>18656391</v>
      </c>
      <c r="U14" s="45">
        <f t="shared" si="3"/>
        <v>9242682</v>
      </c>
      <c r="V14" s="45">
        <f t="shared" si="3"/>
        <v>231008791.51723012</v>
      </c>
      <c r="W14" s="45">
        <v>585660711</v>
      </c>
      <c r="X14" s="45">
        <v>221161449</v>
      </c>
      <c r="Y14" s="45">
        <f t="shared" si="3"/>
        <v>4258234</v>
      </c>
      <c r="Z14" s="45">
        <f t="shared" si="3"/>
        <v>100532428</v>
      </c>
      <c r="AA14" s="45">
        <f t="shared" si="3"/>
        <v>89958</v>
      </c>
      <c r="AB14" s="45">
        <v>14712549</v>
      </c>
      <c r="AC14" s="45">
        <f t="shared" si="3"/>
        <v>54235810</v>
      </c>
      <c r="AD14" s="45">
        <f t="shared" si="3"/>
        <v>66049543</v>
      </c>
      <c r="AE14" s="45">
        <v>91088003</v>
      </c>
      <c r="AF14" s="45">
        <v>37034982</v>
      </c>
      <c r="AG14" s="45">
        <f t="shared" si="3"/>
        <v>116396098</v>
      </c>
      <c r="AH14" s="45">
        <v>311148398</v>
      </c>
      <c r="AI14" s="45">
        <f t="shared" si="3"/>
        <v>26942576</v>
      </c>
      <c r="AJ14" s="93">
        <f t="shared" si="2"/>
        <v>2941433302.9372301</v>
      </c>
    </row>
    <row r="15" spans="1:36" x14ac:dyDescent="0.25">
      <c r="A15" s="28" t="s">
        <v>255</v>
      </c>
      <c r="B15" s="11"/>
      <c r="C15" s="11"/>
      <c r="D15" s="11">
        <v>133026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50065</v>
      </c>
      <c r="U15" s="11"/>
      <c r="V15" s="11">
        <v>389107</v>
      </c>
      <c r="W15" s="11">
        <v>3046392</v>
      </c>
      <c r="X15" s="11">
        <v>1457102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>
        <v>1610218</v>
      </c>
      <c r="AI15" s="11"/>
      <c r="AJ15" s="92">
        <f t="shared" si="2"/>
        <v>6685910</v>
      </c>
    </row>
    <row r="16" spans="1:36" x14ac:dyDescent="0.25">
      <c r="A16" s="28" t="s">
        <v>256</v>
      </c>
      <c r="B16" s="11">
        <v>86855</v>
      </c>
      <c r="C16" s="11">
        <v>646012</v>
      </c>
      <c r="D16" s="11">
        <v>2714584</v>
      </c>
      <c r="E16" s="11">
        <v>430535</v>
      </c>
      <c r="F16" s="11">
        <v>4296564</v>
      </c>
      <c r="G16" s="11">
        <v>191304</v>
      </c>
      <c r="H16" s="11">
        <v>721918</v>
      </c>
      <c r="I16" s="11">
        <v>158619</v>
      </c>
      <c r="J16" s="11">
        <v>528587</v>
      </c>
      <c r="K16" s="11">
        <v>122950</v>
      </c>
      <c r="L16" s="11">
        <v>2732643.05</v>
      </c>
      <c r="M16" s="11">
        <v>162784</v>
      </c>
      <c r="N16" s="11">
        <v>233680</v>
      </c>
      <c r="O16" s="11">
        <v>2179915</v>
      </c>
      <c r="P16" s="11">
        <v>4756088</v>
      </c>
      <c r="Q16" s="11">
        <v>644855</v>
      </c>
      <c r="R16" s="11">
        <v>75790</v>
      </c>
      <c r="S16" s="11">
        <v>240773</v>
      </c>
      <c r="T16" s="11">
        <v>281251</v>
      </c>
      <c r="U16" s="11">
        <v>366326</v>
      </c>
      <c r="V16" s="11">
        <v>3534382</v>
      </c>
      <c r="W16" s="11">
        <v>4872819</v>
      </c>
      <c r="X16" s="11">
        <v>5788986</v>
      </c>
      <c r="Y16" s="11">
        <v>30475</v>
      </c>
      <c r="Z16" s="11">
        <v>341023</v>
      </c>
      <c r="AA16" s="11">
        <v>408130</v>
      </c>
      <c r="AB16" s="11">
        <v>530599</v>
      </c>
      <c r="AC16" s="11">
        <v>272689</v>
      </c>
      <c r="AD16" s="11">
        <v>976535</v>
      </c>
      <c r="AE16" s="11">
        <v>507239</v>
      </c>
      <c r="AF16" s="11">
        <v>955161</v>
      </c>
      <c r="AG16" s="11">
        <v>1928968</v>
      </c>
      <c r="AH16" s="11">
        <v>2509316</v>
      </c>
      <c r="AI16" s="11">
        <v>371277</v>
      </c>
      <c r="AJ16" s="92">
        <f t="shared" si="2"/>
        <v>44599632.049999997</v>
      </c>
    </row>
    <row r="17" spans="1:36" x14ac:dyDescent="0.25">
      <c r="A17" s="28" t="s">
        <v>257</v>
      </c>
      <c r="B17" s="11"/>
      <c r="C17" s="11"/>
      <c r="D17" s="11">
        <v>20887</v>
      </c>
      <c r="E17" s="11">
        <v>149806</v>
      </c>
      <c r="F17" s="11">
        <v>1176554</v>
      </c>
      <c r="G17" s="11"/>
      <c r="H17" s="11">
        <v>1357457</v>
      </c>
      <c r="I17" s="11"/>
      <c r="J17" s="11"/>
      <c r="K17" s="11"/>
      <c r="L17" s="11">
        <v>429128.05</v>
      </c>
      <c r="M17" s="11">
        <v>327421</v>
      </c>
      <c r="N17" s="11"/>
      <c r="O17" s="11">
        <v>462368</v>
      </c>
      <c r="P17" s="11">
        <v>3247557</v>
      </c>
      <c r="Q17" s="11">
        <v>300300</v>
      </c>
      <c r="R17" s="11"/>
      <c r="S17" s="11"/>
      <c r="T17" s="11">
        <v>282856</v>
      </c>
      <c r="U17" s="11"/>
      <c r="V17" s="11"/>
      <c r="W17" s="11">
        <v>2269329</v>
      </c>
      <c r="X17" s="11"/>
      <c r="Y17" s="11">
        <v>45261</v>
      </c>
      <c r="Z17" s="11">
        <v>372735</v>
      </c>
      <c r="AA17" s="11"/>
      <c r="AB17" s="11"/>
      <c r="AC17" s="11">
        <v>339675</v>
      </c>
      <c r="AD17" s="11">
        <v>376866</v>
      </c>
      <c r="AE17" s="11">
        <v>219503</v>
      </c>
      <c r="AF17" s="11"/>
      <c r="AG17" s="11">
        <v>149247</v>
      </c>
      <c r="AH17" s="11"/>
      <c r="AI17" s="11">
        <v>8757</v>
      </c>
      <c r="AJ17" s="92">
        <f t="shared" si="2"/>
        <v>11535707.050000001</v>
      </c>
    </row>
    <row r="18" spans="1:36" x14ac:dyDescent="0.25">
      <c r="A18" s="20" t="s">
        <v>258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92"/>
    </row>
    <row r="19" spans="1:36" x14ac:dyDescent="0.25">
      <c r="A19" s="28" t="s">
        <v>259</v>
      </c>
      <c r="B19" s="11">
        <v>28253</v>
      </c>
      <c r="C19" s="11">
        <v>181461</v>
      </c>
      <c r="D19" s="11">
        <v>82306864</v>
      </c>
      <c r="E19" s="11">
        <v>4985492</v>
      </c>
      <c r="F19" s="11">
        <v>3551242</v>
      </c>
      <c r="G19" s="11">
        <v>517769</v>
      </c>
      <c r="H19" s="11">
        <v>590060</v>
      </c>
      <c r="I19" s="11">
        <v>149247</v>
      </c>
      <c r="J19" s="11">
        <v>45817</v>
      </c>
      <c r="K19" s="11">
        <v>14402</v>
      </c>
      <c r="L19" s="11">
        <v>10385967.4</v>
      </c>
      <c r="M19" s="11">
        <v>294599</v>
      </c>
      <c r="N19" s="11">
        <v>640018</v>
      </c>
      <c r="O19" s="11">
        <v>2407105</v>
      </c>
      <c r="P19" s="11">
        <v>2554669</v>
      </c>
      <c r="Q19" s="11">
        <v>1824591</v>
      </c>
      <c r="R19" s="11">
        <v>114683</v>
      </c>
      <c r="S19" s="11">
        <v>364961</v>
      </c>
      <c r="T19" s="11">
        <v>238470</v>
      </c>
      <c r="U19" s="11">
        <v>179836</v>
      </c>
      <c r="V19" s="11">
        <v>6858725</v>
      </c>
      <c r="W19" s="11">
        <v>89648316</v>
      </c>
      <c r="X19" s="11">
        <v>22797170</v>
      </c>
      <c r="Y19" s="11">
        <v>19879</v>
      </c>
      <c r="Z19" s="11">
        <v>1482500</v>
      </c>
      <c r="AA19" s="11">
        <v>16514</v>
      </c>
      <c r="AB19" s="11">
        <v>458226</v>
      </c>
      <c r="AC19" s="11">
        <v>652344</v>
      </c>
      <c r="AD19" s="11">
        <v>722986</v>
      </c>
      <c r="AE19" s="11">
        <v>514663</v>
      </c>
      <c r="AF19" s="11">
        <v>2349840</v>
      </c>
      <c r="AG19" s="11">
        <v>1898428</v>
      </c>
      <c r="AH19" s="11">
        <v>13426043</v>
      </c>
      <c r="AI19" s="11">
        <v>858373</v>
      </c>
      <c r="AJ19" s="92">
        <f t="shared" si="2"/>
        <v>253079513.40000001</v>
      </c>
    </row>
    <row r="20" spans="1:36" x14ac:dyDescent="0.25">
      <c r="A20" s="28" t="s">
        <v>260</v>
      </c>
      <c r="B20" s="11">
        <v>303344</v>
      </c>
      <c r="C20" s="11">
        <v>688301</v>
      </c>
      <c r="D20" s="11">
        <v>54391275</v>
      </c>
      <c r="E20" s="11">
        <v>1914775</v>
      </c>
      <c r="F20" s="11">
        <v>29356358</v>
      </c>
      <c r="G20" s="11">
        <v>7586948</v>
      </c>
      <c r="H20" s="11">
        <v>12221428</v>
      </c>
      <c r="I20" s="11">
        <v>397472</v>
      </c>
      <c r="J20" s="11">
        <v>167490</v>
      </c>
      <c r="K20" s="11">
        <v>303056</v>
      </c>
      <c r="L20" s="11">
        <v>8257826.8700000001</v>
      </c>
      <c r="M20" s="11">
        <v>5856906</v>
      </c>
      <c r="N20" s="11">
        <v>1625376</v>
      </c>
      <c r="O20" s="11">
        <v>29345204</v>
      </c>
      <c r="P20" s="11">
        <v>103078373</v>
      </c>
      <c r="Q20" s="11">
        <v>20764222</v>
      </c>
      <c r="R20" s="11">
        <v>388114</v>
      </c>
      <c r="S20" s="11">
        <v>1926511</v>
      </c>
      <c r="T20" s="11">
        <v>1291890</v>
      </c>
      <c r="U20" s="11">
        <v>1191729</v>
      </c>
      <c r="V20" s="11">
        <v>81348941</v>
      </c>
      <c r="W20" s="11">
        <v>107157450</v>
      </c>
      <c r="X20" s="11">
        <v>60326940</v>
      </c>
      <c r="Y20" s="11">
        <v>306462</v>
      </c>
      <c r="Z20" s="11">
        <v>18895359</v>
      </c>
      <c r="AA20" s="11">
        <v>159493</v>
      </c>
      <c r="AB20" s="11">
        <v>1270679</v>
      </c>
      <c r="AC20" s="11">
        <v>8249104</v>
      </c>
      <c r="AD20" s="11">
        <v>14795359</v>
      </c>
      <c r="AE20" s="11">
        <v>4428148</v>
      </c>
      <c r="AF20" s="11">
        <v>8467802</v>
      </c>
      <c r="AG20" s="11">
        <v>21450357</v>
      </c>
      <c r="AH20" s="11">
        <v>45615135</v>
      </c>
      <c r="AI20" s="11">
        <v>8289774</v>
      </c>
      <c r="AJ20" s="92">
        <f t="shared" si="2"/>
        <v>661817601.87</v>
      </c>
    </row>
    <row r="21" spans="1:36" s="46" customFormat="1" x14ac:dyDescent="0.25">
      <c r="A21" s="20" t="s">
        <v>261</v>
      </c>
      <c r="B21" s="45">
        <f>B19+B20</f>
        <v>331597</v>
      </c>
      <c r="C21" s="45">
        <f t="shared" ref="C21:AI21" si="4">C19+C20</f>
        <v>869762</v>
      </c>
      <c r="D21" s="45">
        <f t="shared" si="4"/>
        <v>136698139</v>
      </c>
      <c r="E21" s="45">
        <f t="shared" si="4"/>
        <v>6900267</v>
      </c>
      <c r="F21" s="45">
        <f t="shared" si="4"/>
        <v>32907600</v>
      </c>
      <c r="G21" s="45">
        <f t="shared" si="4"/>
        <v>8104717</v>
      </c>
      <c r="H21" s="45">
        <f t="shared" si="4"/>
        <v>12811488</v>
      </c>
      <c r="I21" s="45">
        <f t="shared" si="4"/>
        <v>546719</v>
      </c>
      <c r="J21" s="45">
        <f t="shared" si="4"/>
        <v>213307</v>
      </c>
      <c r="K21" s="45">
        <f t="shared" si="4"/>
        <v>317458</v>
      </c>
      <c r="L21" s="45">
        <f t="shared" si="4"/>
        <v>18643794.27</v>
      </c>
      <c r="M21" s="45">
        <f t="shared" si="4"/>
        <v>6151505</v>
      </c>
      <c r="N21" s="45">
        <f t="shared" si="4"/>
        <v>2265394</v>
      </c>
      <c r="O21" s="45">
        <f t="shared" si="4"/>
        <v>31752309</v>
      </c>
      <c r="P21" s="45">
        <f t="shared" si="4"/>
        <v>105633042</v>
      </c>
      <c r="Q21" s="45">
        <f t="shared" si="4"/>
        <v>22588813</v>
      </c>
      <c r="R21" s="45">
        <f t="shared" si="4"/>
        <v>502797</v>
      </c>
      <c r="S21" s="45">
        <f t="shared" si="4"/>
        <v>2291472</v>
      </c>
      <c r="T21" s="45">
        <f t="shared" si="4"/>
        <v>1530360</v>
      </c>
      <c r="U21" s="45">
        <f t="shared" si="4"/>
        <v>1371565</v>
      </c>
      <c r="V21" s="45">
        <f t="shared" si="4"/>
        <v>88207666</v>
      </c>
      <c r="W21" s="45">
        <f t="shared" si="4"/>
        <v>196805766</v>
      </c>
      <c r="X21" s="45">
        <f t="shared" si="4"/>
        <v>83124110</v>
      </c>
      <c r="Y21" s="45">
        <f t="shared" si="4"/>
        <v>326341</v>
      </c>
      <c r="Z21" s="45">
        <f t="shared" si="4"/>
        <v>20377859</v>
      </c>
      <c r="AA21" s="45">
        <f t="shared" si="4"/>
        <v>176007</v>
      </c>
      <c r="AB21" s="45">
        <f t="shared" si="4"/>
        <v>1728905</v>
      </c>
      <c r="AC21" s="45">
        <f t="shared" si="4"/>
        <v>8901448</v>
      </c>
      <c r="AD21" s="45">
        <f t="shared" si="4"/>
        <v>15518345</v>
      </c>
      <c r="AE21" s="45">
        <f t="shared" si="4"/>
        <v>4942811</v>
      </c>
      <c r="AF21" s="45">
        <f t="shared" si="4"/>
        <v>10817642</v>
      </c>
      <c r="AG21" s="45">
        <f t="shared" si="4"/>
        <v>23348785</v>
      </c>
      <c r="AH21" s="45">
        <f t="shared" si="4"/>
        <v>59041178</v>
      </c>
      <c r="AI21" s="45">
        <f t="shared" si="4"/>
        <v>9148147</v>
      </c>
      <c r="AJ21" s="93">
        <f t="shared" si="2"/>
        <v>914897115.26999998</v>
      </c>
    </row>
    <row r="22" spans="1:36" x14ac:dyDescent="0.25">
      <c r="A22" s="28" t="s">
        <v>262</v>
      </c>
      <c r="B22" s="11">
        <v>1936684</v>
      </c>
      <c r="C22" s="11">
        <v>2408249</v>
      </c>
      <c r="D22" s="11">
        <v>165872204</v>
      </c>
      <c r="E22" s="11">
        <v>5416741</v>
      </c>
      <c r="F22" s="11">
        <v>117617949</v>
      </c>
      <c r="G22" s="11">
        <v>37299971</v>
      </c>
      <c r="H22" s="11">
        <v>61161521</v>
      </c>
      <c r="I22" s="11">
        <v>1834469</v>
      </c>
      <c r="J22" s="11">
        <v>946732</v>
      </c>
      <c r="K22" s="11">
        <v>974295</v>
      </c>
      <c r="L22" s="11">
        <v>64543846.350000001</v>
      </c>
      <c r="M22" s="11">
        <v>29391939</v>
      </c>
      <c r="N22" s="11">
        <v>12888035</v>
      </c>
      <c r="O22" s="11">
        <v>83737367</v>
      </c>
      <c r="P22" s="11">
        <v>234536521</v>
      </c>
      <c r="Q22" s="11">
        <v>69542223</v>
      </c>
      <c r="R22" s="11">
        <v>2566220</v>
      </c>
      <c r="S22" s="11">
        <v>12895321</v>
      </c>
      <c r="T22" s="11">
        <v>13377738</v>
      </c>
      <c r="U22" s="11">
        <v>3525336</v>
      </c>
      <c r="V22" s="11">
        <v>257404238</v>
      </c>
      <c r="W22" s="11">
        <v>308443082</v>
      </c>
      <c r="X22" s="11">
        <v>155900734</v>
      </c>
      <c r="Y22" s="11">
        <v>2128779</v>
      </c>
      <c r="Z22" s="11">
        <v>83701158</v>
      </c>
      <c r="AA22" s="11">
        <v>165503</v>
      </c>
      <c r="AB22" s="11">
        <v>5303612</v>
      </c>
      <c r="AC22" s="11">
        <v>38938034</v>
      </c>
      <c r="AD22" s="11">
        <v>44307701</v>
      </c>
      <c r="AE22" s="11">
        <v>66251789</v>
      </c>
      <c r="AF22" s="11">
        <v>9641051</v>
      </c>
      <c r="AG22" s="11">
        <v>90673630</v>
      </c>
      <c r="AH22" s="11">
        <v>246719167</v>
      </c>
      <c r="AI22" s="11">
        <v>21040717</v>
      </c>
      <c r="AJ22" s="92">
        <f t="shared" si="2"/>
        <v>2253092556.3499999</v>
      </c>
    </row>
    <row r="23" spans="1:36" x14ac:dyDescent="0.25">
      <c r="A23" s="28" t="s">
        <v>74</v>
      </c>
      <c r="B23" s="11">
        <v>590052</v>
      </c>
      <c r="C23" s="11">
        <v>2973676</v>
      </c>
      <c r="D23" s="11">
        <v>9522427</v>
      </c>
      <c r="E23" s="11">
        <v>9681469</v>
      </c>
      <c r="F23" s="11">
        <v>43185884</v>
      </c>
      <c r="G23" s="11">
        <v>9039073</v>
      </c>
      <c r="H23" s="11">
        <v>22654310</v>
      </c>
      <c r="I23" s="11">
        <v>2418852</v>
      </c>
      <c r="J23" s="11">
        <v>1186937</v>
      </c>
      <c r="K23" s="11">
        <v>576852</v>
      </c>
      <c r="L23" s="11">
        <v>8101524.6600000001</v>
      </c>
      <c r="M23" s="11">
        <v>10538674</v>
      </c>
      <c r="N23" s="11">
        <v>6804297</v>
      </c>
      <c r="O23" s="11">
        <v>29672127</v>
      </c>
      <c r="P23" s="11">
        <v>55745453</v>
      </c>
      <c r="Q23" s="11">
        <v>22966508</v>
      </c>
      <c r="R23" s="11">
        <v>1932269</v>
      </c>
      <c r="S23" s="11">
        <v>6472000</v>
      </c>
      <c r="T23" s="11">
        <v>3809117</v>
      </c>
      <c r="U23" s="11">
        <v>4615036</v>
      </c>
      <c r="V23" s="11">
        <v>50413584</v>
      </c>
      <c r="W23" s="11">
        <v>127888774</v>
      </c>
      <c r="X23" s="11">
        <v>64701149</v>
      </c>
      <c r="Y23" s="11">
        <v>705639</v>
      </c>
      <c r="Z23" s="11">
        <v>19017373</v>
      </c>
      <c r="AA23" s="11">
        <v>36756</v>
      </c>
      <c r="AB23" s="11">
        <v>6555510</v>
      </c>
      <c r="AC23" s="11">
        <v>12368485</v>
      </c>
      <c r="AD23" s="11">
        <v>18825278</v>
      </c>
      <c r="AE23" s="11">
        <v>12208176</v>
      </c>
      <c r="AF23" s="11">
        <v>23227262</v>
      </c>
      <c r="AG23" s="11">
        <v>25747540</v>
      </c>
      <c r="AH23" s="11">
        <v>77749142</v>
      </c>
      <c r="AI23" s="11">
        <v>6433433</v>
      </c>
      <c r="AJ23" s="92">
        <f t="shared" si="2"/>
        <v>698364638.65999997</v>
      </c>
    </row>
    <row r="24" spans="1:36" s="46" customFormat="1" x14ac:dyDescent="0.25">
      <c r="A24" s="20" t="s">
        <v>263</v>
      </c>
      <c r="B24" s="45">
        <f>B22+B23</f>
        <v>2526736</v>
      </c>
      <c r="C24" s="45">
        <f t="shared" ref="C24:AI24" si="5">C22+C23</f>
        <v>5381925</v>
      </c>
      <c r="D24" s="45">
        <f t="shared" si="5"/>
        <v>175394631</v>
      </c>
      <c r="E24" s="45">
        <f t="shared" si="5"/>
        <v>15098210</v>
      </c>
      <c r="F24" s="45">
        <f t="shared" si="5"/>
        <v>160803833</v>
      </c>
      <c r="G24" s="45">
        <f t="shared" si="5"/>
        <v>46339044</v>
      </c>
      <c r="H24" s="45">
        <f t="shared" si="5"/>
        <v>83815831</v>
      </c>
      <c r="I24" s="45">
        <f t="shared" si="5"/>
        <v>4253321</v>
      </c>
      <c r="J24" s="45">
        <f t="shared" si="5"/>
        <v>2133669</v>
      </c>
      <c r="K24" s="45">
        <f t="shared" si="5"/>
        <v>1551147</v>
      </c>
      <c r="L24" s="45">
        <f t="shared" si="5"/>
        <v>72645371.010000005</v>
      </c>
      <c r="M24" s="45">
        <f t="shared" si="5"/>
        <v>39930613</v>
      </c>
      <c r="N24" s="45">
        <f t="shared" si="5"/>
        <v>19692332</v>
      </c>
      <c r="O24" s="45">
        <f t="shared" si="5"/>
        <v>113409494</v>
      </c>
      <c r="P24" s="45">
        <f t="shared" si="5"/>
        <v>290281974</v>
      </c>
      <c r="Q24" s="45">
        <f t="shared" si="5"/>
        <v>92508731</v>
      </c>
      <c r="R24" s="45">
        <f t="shared" si="5"/>
        <v>4498489</v>
      </c>
      <c r="S24" s="45">
        <f t="shared" si="5"/>
        <v>19367321</v>
      </c>
      <c r="T24" s="45">
        <f t="shared" si="5"/>
        <v>17186855</v>
      </c>
      <c r="U24" s="45">
        <f t="shared" si="5"/>
        <v>8140372</v>
      </c>
      <c r="V24" s="45">
        <f t="shared" si="5"/>
        <v>307817822</v>
      </c>
      <c r="W24" s="45">
        <f t="shared" si="5"/>
        <v>436331856</v>
      </c>
      <c r="X24" s="45">
        <f t="shared" si="5"/>
        <v>220601883</v>
      </c>
      <c r="Y24" s="45">
        <f t="shared" si="5"/>
        <v>2834418</v>
      </c>
      <c r="Z24" s="45">
        <f t="shared" si="5"/>
        <v>102718531</v>
      </c>
      <c r="AA24" s="45">
        <f t="shared" si="5"/>
        <v>202259</v>
      </c>
      <c r="AB24" s="45">
        <f t="shared" si="5"/>
        <v>11859122</v>
      </c>
      <c r="AC24" s="45">
        <f t="shared" si="5"/>
        <v>51306519</v>
      </c>
      <c r="AD24" s="45">
        <f t="shared" si="5"/>
        <v>63132979</v>
      </c>
      <c r="AE24" s="45">
        <f t="shared" si="5"/>
        <v>78459965</v>
      </c>
      <c r="AF24" s="45">
        <f t="shared" si="5"/>
        <v>32868313</v>
      </c>
      <c r="AG24" s="45">
        <f t="shared" si="5"/>
        <v>116421170</v>
      </c>
      <c r="AH24" s="45">
        <f t="shared" si="5"/>
        <v>324468309</v>
      </c>
      <c r="AI24" s="45">
        <f t="shared" si="5"/>
        <v>27474150</v>
      </c>
      <c r="AJ24" s="93">
        <f t="shared" si="2"/>
        <v>2951457195.0100002</v>
      </c>
    </row>
    <row r="25" spans="1:36" s="9" customFormat="1" x14ac:dyDescent="0.25">
      <c r="A25" s="4" t="s">
        <v>264</v>
      </c>
      <c r="B25" s="12">
        <f>B21-B24</f>
        <v>-2195139</v>
      </c>
      <c r="C25" s="12">
        <f t="shared" ref="C25:AI25" si="6">C21-C24</f>
        <v>-4512163</v>
      </c>
      <c r="D25" s="12">
        <f t="shared" si="6"/>
        <v>-38696492</v>
      </c>
      <c r="E25" s="12">
        <f t="shared" si="6"/>
        <v>-8197943</v>
      </c>
      <c r="F25" s="12">
        <f t="shared" si="6"/>
        <v>-127896233</v>
      </c>
      <c r="G25" s="12">
        <f t="shared" si="6"/>
        <v>-38234327</v>
      </c>
      <c r="H25" s="12">
        <f t="shared" si="6"/>
        <v>-71004343</v>
      </c>
      <c r="I25" s="12">
        <f t="shared" si="6"/>
        <v>-3706602</v>
      </c>
      <c r="J25" s="12">
        <f t="shared" si="6"/>
        <v>-1920362</v>
      </c>
      <c r="K25" s="12">
        <f t="shared" si="6"/>
        <v>-1233689</v>
      </c>
      <c r="L25" s="12">
        <f t="shared" si="6"/>
        <v>-54001576.74000001</v>
      </c>
      <c r="M25" s="12">
        <f t="shared" si="6"/>
        <v>-33779108</v>
      </c>
      <c r="N25" s="12">
        <f t="shared" si="6"/>
        <v>-17426938</v>
      </c>
      <c r="O25" s="12">
        <f t="shared" si="6"/>
        <v>-81657185</v>
      </c>
      <c r="P25" s="12">
        <f t="shared" si="6"/>
        <v>-184648932</v>
      </c>
      <c r="Q25" s="12">
        <f t="shared" si="6"/>
        <v>-69919918</v>
      </c>
      <c r="R25" s="12">
        <f t="shared" si="6"/>
        <v>-3995692</v>
      </c>
      <c r="S25" s="12">
        <f t="shared" si="6"/>
        <v>-17075849</v>
      </c>
      <c r="T25" s="12">
        <f t="shared" si="6"/>
        <v>-15656495</v>
      </c>
      <c r="U25" s="12">
        <f t="shared" si="6"/>
        <v>-6768807</v>
      </c>
      <c r="V25" s="12">
        <f t="shared" si="6"/>
        <v>-219610156</v>
      </c>
      <c r="W25" s="12">
        <f t="shared" si="6"/>
        <v>-239526090</v>
      </c>
      <c r="X25" s="12">
        <f t="shared" si="6"/>
        <v>-137477773</v>
      </c>
      <c r="Y25" s="12">
        <f t="shared" si="6"/>
        <v>-2508077</v>
      </c>
      <c r="Z25" s="12">
        <f t="shared" si="6"/>
        <v>-82340672</v>
      </c>
      <c r="AA25" s="12">
        <f t="shared" si="6"/>
        <v>-26252</v>
      </c>
      <c r="AB25" s="12">
        <f t="shared" si="6"/>
        <v>-10130217</v>
      </c>
      <c r="AC25" s="12">
        <f t="shared" si="6"/>
        <v>-42405071</v>
      </c>
      <c r="AD25" s="12">
        <f t="shared" si="6"/>
        <v>-47614634</v>
      </c>
      <c r="AE25" s="12">
        <f t="shared" si="6"/>
        <v>-73517154</v>
      </c>
      <c r="AF25" s="12">
        <f t="shared" si="6"/>
        <v>-22050671</v>
      </c>
      <c r="AG25" s="12">
        <f t="shared" si="6"/>
        <v>-93072385</v>
      </c>
      <c r="AH25" s="12">
        <f t="shared" si="6"/>
        <v>-265427131</v>
      </c>
      <c r="AI25" s="12">
        <f t="shared" si="6"/>
        <v>-18326003</v>
      </c>
      <c r="AJ25" s="91">
        <f t="shared" si="2"/>
        <v>-2036560079.74</v>
      </c>
    </row>
    <row r="26" spans="1:36" ht="30" x14ac:dyDescent="0.25">
      <c r="A26" s="28" t="s">
        <v>265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>
        <v>1367390</v>
      </c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92">
        <f t="shared" si="2"/>
        <v>1367390</v>
      </c>
    </row>
    <row r="27" spans="1:36" ht="30" x14ac:dyDescent="0.25">
      <c r="A27" s="28" t="s">
        <v>266</v>
      </c>
      <c r="B27" s="11">
        <v>2464808</v>
      </c>
      <c r="C27" s="11">
        <v>6781795</v>
      </c>
      <c r="D27" s="11">
        <v>137100</v>
      </c>
      <c r="E27" s="11">
        <v>4429283</v>
      </c>
      <c r="F27" s="11"/>
      <c r="G27" s="11">
        <v>13625664</v>
      </c>
      <c r="H27" s="11"/>
      <c r="I27" s="11">
        <v>8070351</v>
      </c>
      <c r="J27" s="11">
        <v>596542</v>
      </c>
      <c r="K27" s="11">
        <v>1174625</v>
      </c>
      <c r="L27" s="11"/>
      <c r="M27" s="11"/>
      <c r="N27" s="11">
        <v>4399100</v>
      </c>
      <c r="O27" s="11"/>
      <c r="P27" s="11"/>
      <c r="Q27" s="11"/>
      <c r="R27" s="11">
        <v>1221709</v>
      </c>
      <c r="S27" s="11">
        <v>10365811</v>
      </c>
      <c r="T27" s="11">
        <v>233115</v>
      </c>
      <c r="U27" s="11">
        <v>8142176</v>
      </c>
      <c r="V27" s="11">
        <v>8631913.8089690283</v>
      </c>
      <c r="W27" s="11"/>
      <c r="X27" s="11"/>
      <c r="Y27" s="11">
        <v>245426</v>
      </c>
      <c r="Z27" s="11"/>
      <c r="AA27" s="11">
        <v>1393691</v>
      </c>
      <c r="AB27" s="11">
        <v>2311778</v>
      </c>
      <c r="AC27" s="11"/>
      <c r="AD27" s="11"/>
      <c r="AE27" s="11"/>
      <c r="AF27" s="11">
        <v>483763</v>
      </c>
      <c r="AG27" s="11"/>
      <c r="AH27" s="11"/>
      <c r="AI27" s="11"/>
      <c r="AJ27" s="92">
        <f t="shared" si="2"/>
        <v>74708650.808969021</v>
      </c>
    </row>
    <row r="28" spans="1:36" s="9" customFormat="1" x14ac:dyDescent="0.25">
      <c r="A28" s="4" t="s">
        <v>56</v>
      </c>
      <c r="B28" s="12">
        <v>3811101</v>
      </c>
      <c r="C28" s="12">
        <v>9400325</v>
      </c>
      <c r="D28" s="12">
        <v>39752968</v>
      </c>
      <c r="E28" s="12">
        <v>10925856</v>
      </c>
      <c r="F28" s="12">
        <v>55531855</v>
      </c>
      <c r="G28" s="12">
        <v>21471777</v>
      </c>
      <c r="H28" s="12">
        <v>15889655</v>
      </c>
      <c r="I28" s="12">
        <v>9660245</v>
      </c>
      <c r="J28" s="12">
        <v>1900545</v>
      </c>
      <c r="K28" s="12">
        <v>2296990</v>
      </c>
      <c r="L28" s="12">
        <v>53742338.780000001</v>
      </c>
      <c r="M28" s="12">
        <v>8652959</v>
      </c>
      <c r="N28" s="12">
        <v>9955062</v>
      </c>
      <c r="O28" s="12">
        <v>25058340</v>
      </c>
      <c r="P28" s="12">
        <v>63347716</v>
      </c>
      <c r="Q28" s="12">
        <v>23108695</v>
      </c>
      <c r="R28" s="12">
        <v>3055399</v>
      </c>
      <c r="S28" s="12">
        <v>17346131</v>
      </c>
      <c r="T28" s="12">
        <v>3847183</v>
      </c>
      <c r="U28" s="12">
        <v>10982377</v>
      </c>
      <c r="V28" s="12">
        <v>23954039.326199152</v>
      </c>
      <c r="W28" s="12">
        <v>357690551</v>
      </c>
      <c r="X28" s="12">
        <v>90929763</v>
      </c>
      <c r="Y28" s="12">
        <v>2071319</v>
      </c>
      <c r="Z28" s="12">
        <v>18905514</v>
      </c>
      <c r="AA28" s="12">
        <v>1865527</v>
      </c>
      <c r="AB28" s="12">
        <v>7424709</v>
      </c>
      <c r="AC28" s="12">
        <v>12443103</v>
      </c>
      <c r="AD28" s="12">
        <v>19788310</v>
      </c>
      <c r="AE28" s="12">
        <v>18297591</v>
      </c>
      <c r="AF28" s="12">
        <v>16423235</v>
      </c>
      <c r="AG28" s="12">
        <v>25401928</v>
      </c>
      <c r="AH28" s="12">
        <v>49840801</v>
      </c>
      <c r="AI28" s="12">
        <v>8996607</v>
      </c>
      <c r="AJ28" s="91">
        <f t="shared" si="2"/>
        <v>1043770515.1061991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4:C4"/>
    </sheetView>
  </sheetViews>
  <sheetFormatPr defaultRowHeight="15" x14ac:dyDescent="0.25"/>
  <cols>
    <col min="1" max="1" width="33.140625" style="8" customWidth="1"/>
    <col min="2" max="71" width="16" style="8" customWidth="1"/>
    <col min="72" max="16384" width="9.140625" style="8"/>
  </cols>
  <sheetData>
    <row r="1" spans="1:71" ht="18.75" x14ac:dyDescent="0.3">
      <c r="A1" s="6" t="s">
        <v>245</v>
      </c>
    </row>
    <row r="2" spans="1:71" x14ac:dyDescent="0.25">
      <c r="A2" s="19" t="s">
        <v>48</v>
      </c>
    </row>
    <row r="3" spans="1:71" x14ac:dyDescent="0.25">
      <c r="A3" s="35" t="s">
        <v>230</v>
      </c>
    </row>
    <row r="4" spans="1:71" x14ac:dyDescent="0.25">
      <c r="A4" s="1" t="s">
        <v>0</v>
      </c>
      <c r="B4" s="105" t="s">
        <v>1</v>
      </c>
      <c r="C4" s="106"/>
      <c r="D4" s="105" t="s">
        <v>2</v>
      </c>
      <c r="E4" s="106"/>
      <c r="F4" s="105" t="s">
        <v>3</v>
      </c>
      <c r="G4" s="106"/>
      <c r="H4" s="105" t="s">
        <v>4</v>
      </c>
      <c r="I4" s="106"/>
      <c r="J4" s="105" t="s">
        <v>5</v>
      </c>
      <c r="K4" s="106"/>
      <c r="L4" s="105" t="s">
        <v>6</v>
      </c>
      <c r="M4" s="106"/>
      <c r="N4" s="105" t="s">
        <v>7</v>
      </c>
      <c r="O4" s="106"/>
      <c r="P4" s="105" t="s">
        <v>8</v>
      </c>
      <c r="Q4" s="106"/>
      <c r="R4" s="105" t="s">
        <v>9</v>
      </c>
      <c r="S4" s="106"/>
      <c r="T4" s="105" t="s">
        <v>10</v>
      </c>
      <c r="U4" s="106"/>
      <c r="V4" s="105" t="s">
        <v>11</v>
      </c>
      <c r="W4" s="106"/>
      <c r="X4" s="105" t="s">
        <v>12</v>
      </c>
      <c r="Y4" s="106"/>
      <c r="Z4" s="105" t="s">
        <v>13</v>
      </c>
      <c r="AA4" s="106"/>
      <c r="AB4" s="105" t="s">
        <v>14</v>
      </c>
      <c r="AC4" s="106"/>
      <c r="AD4" s="105" t="s">
        <v>15</v>
      </c>
      <c r="AE4" s="106"/>
      <c r="AF4" s="105" t="s">
        <v>16</v>
      </c>
      <c r="AG4" s="106"/>
      <c r="AH4" s="105" t="s">
        <v>17</v>
      </c>
      <c r="AI4" s="106"/>
      <c r="AJ4" s="105" t="s">
        <v>18</v>
      </c>
      <c r="AK4" s="106"/>
      <c r="AL4" s="105" t="s">
        <v>19</v>
      </c>
      <c r="AM4" s="106"/>
      <c r="AN4" s="105" t="s">
        <v>20</v>
      </c>
      <c r="AO4" s="106"/>
      <c r="AP4" s="105" t="s">
        <v>21</v>
      </c>
      <c r="AQ4" s="106"/>
      <c r="AR4" s="105" t="s">
        <v>22</v>
      </c>
      <c r="AS4" s="106"/>
      <c r="AT4" s="105" t="s">
        <v>23</v>
      </c>
      <c r="AU4" s="106"/>
      <c r="AV4" s="105" t="s">
        <v>24</v>
      </c>
      <c r="AW4" s="106"/>
      <c r="AX4" s="105" t="s">
        <v>25</v>
      </c>
      <c r="AY4" s="106"/>
      <c r="AZ4" s="105" t="s">
        <v>26</v>
      </c>
      <c r="BA4" s="106"/>
      <c r="BB4" s="105" t="s">
        <v>27</v>
      </c>
      <c r="BC4" s="106"/>
      <c r="BD4" s="105" t="s">
        <v>28</v>
      </c>
      <c r="BE4" s="106"/>
      <c r="BF4" s="105" t="s">
        <v>29</v>
      </c>
      <c r="BG4" s="106"/>
      <c r="BH4" s="105" t="s">
        <v>30</v>
      </c>
      <c r="BI4" s="106"/>
      <c r="BJ4" s="105" t="s">
        <v>31</v>
      </c>
      <c r="BK4" s="106"/>
      <c r="BL4" s="105" t="s">
        <v>32</v>
      </c>
      <c r="BM4" s="106"/>
      <c r="BN4" s="109" t="s">
        <v>33</v>
      </c>
      <c r="BO4" s="110"/>
      <c r="BP4" s="105" t="s">
        <v>34</v>
      </c>
      <c r="BQ4" s="106"/>
      <c r="BR4" s="107" t="s">
        <v>35</v>
      </c>
      <c r="BS4" s="108"/>
    </row>
    <row r="5" spans="1:71" ht="30" x14ac:dyDescent="0.25">
      <c r="A5" s="1"/>
      <c r="B5" s="76" t="s">
        <v>295</v>
      </c>
      <c r="C5" s="77" t="s">
        <v>296</v>
      </c>
      <c r="D5" s="76" t="s">
        <v>295</v>
      </c>
      <c r="E5" s="77" t="s">
        <v>296</v>
      </c>
      <c r="F5" s="76" t="s">
        <v>295</v>
      </c>
      <c r="G5" s="77" t="s">
        <v>296</v>
      </c>
      <c r="H5" s="76" t="s">
        <v>295</v>
      </c>
      <c r="I5" s="77" t="s">
        <v>296</v>
      </c>
      <c r="J5" s="76" t="s">
        <v>295</v>
      </c>
      <c r="K5" s="77" t="s">
        <v>296</v>
      </c>
      <c r="L5" s="76" t="s">
        <v>295</v>
      </c>
      <c r="M5" s="77" t="s">
        <v>296</v>
      </c>
      <c r="N5" s="76" t="s">
        <v>295</v>
      </c>
      <c r="O5" s="77" t="s">
        <v>296</v>
      </c>
      <c r="P5" s="76" t="s">
        <v>295</v>
      </c>
      <c r="Q5" s="77" t="s">
        <v>296</v>
      </c>
      <c r="R5" s="76" t="s">
        <v>295</v>
      </c>
      <c r="S5" s="77" t="s">
        <v>296</v>
      </c>
      <c r="T5" s="76" t="s">
        <v>295</v>
      </c>
      <c r="U5" s="77" t="s">
        <v>296</v>
      </c>
      <c r="V5" s="76" t="s">
        <v>295</v>
      </c>
      <c r="W5" s="77" t="s">
        <v>296</v>
      </c>
      <c r="X5" s="76" t="s">
        <v>295</v>
      </c>
      <c r="Y5" s="77" t="s">
        <v>296</v>
      </c>
      <c r="Z5" s="76" t="s">
        <v>295</v>
      </c>
      <c r="AA5" s="77" t="s">
        <v>296</v>
      </c>
      <c r="AB5" s="76" t="s">
        <v>295</v>
      </c>
      <c r="AC5" s="77" t="s">
        <v>296</v>
      </c>
      <c r="AD5" s="76" t="s">
        <v>295</v>
      </c>
      <c r="AE5" s="77" t="s">
        <v>296</v>
      </c>
      <c r="AF5" s="76" t="s">
        <v>295</v>
      </c>
      <c r="AG5" s="77" t="s">
        <v>296</v>
      </c>
      <c r="AH5" s="76" t="s">
        <v>295</v>
      </c>
      <c r="AI5" s="77" t="s">
        <v>296</v>
      </c>
      <c r="AJ5" s="76" t="s">
        <v>295</v>
      </c>
      <c r="AK5" s="77" t="s">
        <v>296</v>
      </c>
      <c r="AL5" s="76" t="s">
        <v>295</v>
      </c>
      <c r="AM5" s="77" t="s">
        <v>296</v>
      </c>
      <c r="AN5" s="76" t="s">
        <v>295</v>
      </c>
      <c r="AO5" s="77" t="s">
        <v>296</v>
      </c>
      <c r="AP5" s="76" t="s">
        <v>295</v>
      </c>
      <c r="AQ5" s="77" t="s">
        <v>296</v>
      </c>
      <c r="AR5" s="76" t="s">
        <v>295</v>
      </c>
      <c r="AS5" s="77" t="s">
        <v>296</v>
      </c>
      <c r="AT5" s="76" t="s">
        <v>295</v>
      </c>
      <c r="AU5" s="77" t="s">
        <v>296</v>
      </c>
      <c r="AV5" s="76" t="s">
        <v>295</v>
      </c>
      <c r="AW5" s="77" t="s">
        <v>296</v>
      </c>
      <c r="AX5" s="76" t="s">
        <v>295</v>
      </c>
      <c r="AY5" s="77" t="s">
        <v>296</v>
      </c>
      <c r="AZ5" s="76" t="s">
        <v>295</v>
      </c>
      <c r="BA5" s="77" t="s">
        <v>296</v>
      </c>
      <c r="BB5" s="76" t="s">
        <v>295</v>
      </c>
      <c r="BC5" s="77" t="s">
        <v>296</v>
      </c>
      <c r="BD5" s="76" t="s">
        <v>295</v>
      </c>
      <c r="BE5" s="77" t="s">
        <v>296</v>
      </c>
      <c r="BF5" s="76" t="s">
        <v>295</v>
      </c>
      <c r="BG5" s="77" t="s">
        <v>296</v>
      </c>
      <c r="BH5" s="76" t="s">
        <v>295</v>
      </c>
      <c r="BI5" s="77" t="s">
        <v>296</v>
      </c>
      <c r="BJ5" s="76" t="s">
        <v>295</v>
      </c>
      <c r="BK5" s="77" t="s">
        <v>296</v>
      </c>
      <c r="BL5" s="76" t="s">
        <v>295</v>
      </c>
      <c r="BM5" s="77" t="s">
        <v>296</v>
      </c>
      <c r="BN5" s="76" t="s">
        <v>295</v>
      </c>
      <c r="BO5" s="77" t="s">
        <v>296</v>
      </c>
      <c r="BP5" s="76" t="s">
        <v>295</v>
      </c>
      <c r="BQ5" s="77" t="s">
        <v>296</v>
      </c>
      <c r="BR5" s="95" t="s">
        <v>295</v>
      </c>
      <c r="BS5" s="96" t="s">
        <v>296</v>
      </c>
    </row>
    <row r="6" spans="1:71" x14ac:dyDescent="0.25">
      <c r="A6" s="11" t="s">
        <v>285</v>
      </c>
      <c r="B6" s="11"/>
      <c r="C6" s="11"/>
      <c r="D6" s="11"/>
      <c r="E6" s="11"/>
      <c r="F6" s="11"/>
      <c r="G6" s="11"/>
      <c r="H6" s="11"/>
      <c r="I6" s="11"/>
      <c r="J6" s="11">
        <v>2467790</v>
      </c>
      <c r="K6" s="11">
        <v>6166690</v>
      </c>
      <c r="L6" s="11">
        <v>370003</v>
      </c>
      <c r="M6" s="11">
        <v>1180775</v>
      </c>
      <c r="N6" s="11">
        <v>755270</v>
      </c>
      <c r="O6" s="11">
        <v>1722188</v>
      </c>
      <c r="P6" s="11"/>
      <c r="Q6" s="11"/>
      <c r="R6" s="11">
        <v>59488</v>
      </c>
      <c r="S6" s="11">
        <v>107809</v>
      </c>
      <c r="T6" s="11">
        <v>3224</v>
      </c>
      <c r="U6" s="11">
        <v>12937</v>
      </c>
      <c r="V6" s="11"/>
      <c r="W6" s="11"/>
      <c r="X6" s="11">
        <v>696393</v>
      </c>
      <c r="Y6" s="11">
        <v>1754446</v>
      </c>
      <c r="Z6" s="11">
        <v>43704</v>
      </c>
      <c r="AA6" s="11">
        <v>108854</v>
      </c>
      <c r="AB6" s="11">
        <v>2087933</v>
      </c>
      <c r="AC6" s="11">
        <v>5626952</v>
      </c>
      <c r="AD6" s="11">
        <v>2543784</v>
      </c>
      <c r="AE6" s="11">
        <v>8530255</v>
      </c>
      <c r="AF6" s="11">
        <v>1142426</v>
      </c>
      <c r="AG6" s="11">
        <v>3246422</v>
      </c>
      <c r="AH6" s="11">
        <v>90201</v>
      </c>
      <c r="AI6" s="11">
        <v>151863</v>
      </c>
      <c r="AJ6" s="11">
        <v>155840</v>
      </c>
      <c r="AK6" s="11">
        <v>449108</v>
      </c>
      <c r="AL6" s="11">
        <v>146791</v>
      </c>
      <c r="AM6" s="11">
        <v>382161</v>
      </c>
      <c r="AN6" s="11"/>
      <c r="AO6" s="11"/>
      <c r="AP6" s="11">
        <v>2320184.0570085282</v>
      </c>
      <c r="AQ6" s="11">
        <v>5960556.0898623681</v>
      </c>
      <c r="AR6" s="11">
        <v>7604189</v>
      </c>
      <c r="AS6" s="11">
        <v>19285818</v>
      </c>
      <c r="AT6" s="11">
        <v>2926087</v>
      </c>
      <c r="AU6" s="11">
        <v>7844378</v>
      </c>
      <c r="AV6" s="11">
        <v>2771</v>
      </c>
      <c r="AW6" s="11">
        <v>13635</v>
      </c>
      <c r="AX6" s="11">
        <v>1756981</v>
      </c>
      <c r="AY6" s="11">
        <v>4556187</v>
      </c>
      <c r="AZ6" s="11"/>
      <c r="BA6" s="11"/>
      <c r="BB6" s="11"/>
      <c r="BC6" s="11"/>
      <c r="BD6" s="11">
        <v>435249</v>
      </c>
      <c r="BE6" s="11">
        <v>1392139</v>
      </c>
      <c r="BF6" s="11">
        <v>2775470</v>
      </c>
      <c r="BG6" s="11">
        <v>5871806</v>
      </c>
      <c r="BH6" s="11">
        <v>80713</v>
      </c>
      <c r="BI6" s="11">
        <v>170441</v>
      </c>
      <c r="BJ6" s="11"/>
      <c r="BK6" s="11"/>
      <c r="BL6" s="11">
        <v>1951237</v>
      </c>
      <c r="BM6" s="11">
        <v>5603213</v>
      </c>
      <c r="BN6" s="11">
        <v>3576084</v>
      </c>
      <c r="BO6" s="11">
        <v>8423929</v>
      </c>
      <c r="BP6" s="11">
        <v>299397</v>
      </c>
      <c r="BQ6" s="11">
        <v>1179140</v>
      </c>
      <c r="BR6" s="99">
        <f>SUM(B6+D6+F6+H6+J6+L6+N6+P6+R6+T6+V6+X6+Z6+AB6+AD6+AF6+AH6+AJ6+AL6+AN6+AP6+AR6+AT6+AV6+AX6+AZ6+BB6+BD6+BF6+BH6+BJ6+BL6+BN6+BP6)</f>
        <v>34291209.057008527</v>
      </c>
      <c r="BS6" s="99">
        <f>SUM(C6+E6+G6+I6+K6+M6+O6+Q6+S6+U6+W6+Y6+AA6+AC6+AE6+AG6+AI6+AK6+AM6+AO6+AQ6+AS6+AU6+AW6+AY6+BA6+BC6+BE6+BG6+BI6+BK6+BM6+BO6+BQ6)</f>
        <v>89741702.089862376</v>
      </c>
    </row>
    <row r="7" spans="1:71" x14ac:dyDescent="0.25">
      <c r="A7" s="11" t="s">
        <v>288</v>
      </c>
      <c r="B7" s="11"/>
      <c r="C7" s="11"/>
      <c r="D7" s="11"/>
      <c r="E7" s="11"/>
      <c r="F7" s="11"/>
      <c r="G7" s="11"/>
      <c r="H7" s="11"/>
      <c r="I7" s="11"/>
      <c r="J7" s="11">
        <v>146153</v>
      </c>
      <c r="K7" s="11">
        <v>329985</v>
      </c>
      <c r="L7" s="11">
        <v>43860</v>
      </c>
      <c r="M7" s="11">
        <v>135430</v>
      </c>
      <c r="N7" s="11">
        <v>28337</v>
      </c>
      <c r="O7" s="11">
        <v>51867</v>
      </c>
      <c r="P7" s="11"/>
      <c r="Q7" s="11"/>
      <c r="R7" s="11">
        <v>1703</v>
      </c>
      <c r="S7" s="11">
        <v>3011</v>
      </c>
      <c r="T7" s="11">
        <v>10405</v>
      </c>
      <c r="U7" s="11">
        <v>17175</v>
      </c>
      <c r="V7" s="11"/>
      <c r="W7" s="11"/>
      <c r="X7" s="11">
        <v>116052</v>
      </c>
      <c r="Y7" s="11">
        <v>459177</v>
      </c>
      <c r="Z7" s="11">
        <v>306818</v>
      </c>
      <c r="AA7" s="11">
        <v>1107413</v>
      </c>
      <c r="AB7" s="11">
        <v>132552</v>
      </c>
      <c r="AC7" s="11">
        <v>532695</v>
      </c>
      <c r="AD7" s="11">
        <v>100779</v>
      </c>
      <c r="AE7" s="11">
        <v>411988</v>
      </c>
      <c r="AF7" s="11">
        <v>168725</v>
      </c>
      <c r="AG7" s="11">
        <v>469851</v>
      </c>
      <c r="AH7" s="11">
        <v>8519</v>
      </c>
      <c r="AI7" s="11">
        <v>15057</v>
      </c>
      <c r="AJ7" s="11">
        <v>53511</v>
      </c>
      <c r="AK7" s="11">
        <v>141420</v>
      </c>
      <c r="AL7" s="11">
        <v>107593</v>
      </c>
      <c r="AM7" s="11">
        <v>322605</v>
      </c>
      <c r="AN7" s="11"/>
      <c r="AO7" s="11"/>
      <c r="AP7" s="11">
        <v>272787.18376907194</v>
      </c>
      <c r="AQ7" s="11">
        <v>874696.921635448</v>
      </c>
      <c r="AR7" s="11">
        <v>2611233</v>
      </c>
      <c r="AS7" s="11">
        <v>5847514</v>
      </c>
      <c r="AT7" s="11">
        <v>637107</v>
      </c>
      <c r="AU7" s="11">
        <v>776808</v>
      </c>
      <c r="AV7" s="11">
        <v>3697</v>
      </c>
      <c r="AW7" s="11">
        <v>4411</v>
      </c>
      <c r="AX7" s="11">
        <v>117088</v>
      </c>
      <c r="AY7" s="11">
        <v>267388</v>
      </c>
      <c r="AZ7" s="11"/>
      <c r="BA7" s="11"/>
      <c r="BB7" s="11"/>
      <c r="BC7" s="11"/>
      <c r="BD7" s="11">
        <v>117851</v>
      </c>
      <c r="BE7" s="11">
        <v>266469</v>
      </c>
      <c r="BF7" s="11">
        <v>23583</v>
      </c>
      <c r="BG7" s="11">
        <v>25828</v>
      </c>
      <c r="BH7" s="11">
        <v>17039</v>
      </c>
      <c r="BI7" s="11">
        <v>29086</v>
      </c>
      <c r="BJ7" s="11"/>
      <c r="BK7" s="11"/>
      <c r="BL7" s="11">
        <v>150516</v>
      </c>
      <c r="BM7" s="11">
        <v>591359</v>
      </c>
      <c r="BN7" s="11">
        <v>270166</v>
      </c>
      <c r="BO7" s="11">
        <v>1057807</v>
      </c>
      <c r="BP7" s="11">
        <v>20191</v>
      </c>
      <c r="BQ7" s="11">
        <v>35068</v>
      </c>
      <c r="BR7" s="99">
        <f t="shared" ref="BR7:BR10" si="0">SUM(B7+D7+F7+H7+J7+L7+N7+P7+R7+T7+V7+X7+Z7+AB7+AD7+AF7+AH7+AJ7+AL7+AN7+AP7+AR7+AT7+AV7+AX7+AZ7+BB7+BD7+BF7+BH7+BJ7+BL7+BN7+BP7)</f>
        <v>5466265.1837690715</v>
      </c>
      <c r="BS7" s="99">
        <f t="shared" ref="BS7:BS10" si="1">SUM(C7+E7+G7+I7+K7+M7+O7+Q7+S7+U7+W7+Y7+AA7+AC7+AE7+AG7+AI7+AK7+AM7+AO7+AQ7+AS7+AU7+AW7+AY7+BA7+BC7+BE7+BG7+BI7+BK7+BM7+BO7+BQ7)</f>
        <v>13774108.921635449</v>
      </c>
    </row>
    <row r="8" spans="1:71" x14ac:dyDescent="0.25">
      <c r="A8" s="11" t="s">
        <v>289</v>
      </c>
      <c r="B8" s="11"/>
      <c r="C8" s="11"/>
      <c r="D8" s="11"/>
      <c r="E8" s="11"/>
      <c r="F8" s="11"/>
      <c r="G8" s="11"/>
      <c r="H8" s="11"/>
      <c r="I8" s="11"/>
      <c r="J8" s="11">
        <v>1778957</v>
      </c>
      <c r="K8" s="11">
        <v>6489824</v>
      </c>
      <c r="L8" s="11">
        <v>311817</v>
      </c>
      <c r="M8" s="11">
        <v>1074931</v>
      </c>
      <c r="N8" s="11">
        <v>498126</v>
      </c>
      <c r="O8" s="11">
        <v>1153954</v>
      </c>
      <c r="P8" s="11"/>
      <c r="Q8" s="11"/>
      <c r="R8" s="11">
        <v>-34927</v>
      </c>
      <c r="S8" s="11">
        <v>-64260</v>
      </c>
      <c r="T8" s="11">
        <v>7326</v>
      </c>
      <c r="U8" s="11">
        <v>17351</v>
      </c>
      <c r="V8" s="11"/>
      <c r="W8" s="11"/>
      <c r="X8" s="11">
        <v>569668</v>
      </c>
      <c r="Y8" s="11">
        <v>1613408</v>
      </c>
      <c r="Z8" s="11">
        <v>310634</v>
      </c>
      <c r="AA8" s="11">
        <v>1081597</v>
      </c>
      <c r="AB8" s="11">
        <v>-1731012</v>
      </c>
      <c r="AC8" s="11">
        <v>-4974577</v>
      </c>
      <c r="AD8" s="11">
        <v>1920833</v>
      </c>
      <c r="AE8" s="11">
        <v>6781197</v>
      </c>
      <c r="AF8" s="11">
        <v>1195630</v>
      </c>
      <c r="AG8" s="11">
        <v>3438278</v>
      </c>
      <c r="AH8" s="11">
        <v>35168</v>
      </c>
      <c r="AI8" s="11">
        <v>58725</v>
      </c>
      <c r="AJ8" s="11">
        <v>116472</v>
      </c>
      <c r="AK8" s="11">
        <v>501565</v>
      </c>
      <c r="AL8" s="11">
        <v>-222087</v>
      </c>
      <c r="AM8" s="11">
        <v>-637109</v>
      </c>
      <c r="AN8" s="11"/>
      <c r="AO8" s="11"/>
      <c r="AP8" s="11">
        <v>864767.11167594208</v>
      </c>
      <c r="AQ8" s="11">
        <v>2489063.4243906219</v>
      </c>
      <c r="AR8" s="11">
        <v>4436312</v>
      </c>
      <c r="AS8" s="11">
        <v>11419594</v>
      </c>
      <c r="AT8" s="11">
        <v>1800230</v>
      </c>
      <c r="AU8" s="11">
        <v>4603562</v>
      </c>
      <c r="AV8" s="11">
        <v>4257</v>
      </c>
      <c r="AW8" s="11">
        <v>13929</v>
      </c>
      <c r="AX8" s="11">
        <v>2123702</v>
      </c>
      <c r="AY8" s="11">
        <v>4262265</v>
      </c>
      <c r="AZ8" s="11"/>
      <c r="BA8" s="11"/>
      <c r="BB8" s="11"/>
      <c r="BC8" s="11"/>
      <c r="BD8" s="11">
        <v>-452095</v>
      </c>
      <c r="BE8" s="11">
        <v>-1373842</v>
      </c>
      <c r="BF8" s="11">
        <v>2058988</v>
      </c>
      <c r="BG8" s="11">
        <v>4375162</v>
      </c>
      <c r="BH8" s="11">
        <v>34358</v>
      </c>
      <c r="BI8" s="11">
        <v>68421</v>
      </c>
      <c r="BJ8" s="11"/>
      <c r="BK8" s="11"/>
      <c r="BL8" s="11">
        <v>1517671</v>
      </c>
      <c r="BM8" s="11">
        <v>7749022</v>
      </c>
      <c r="BN8" s="11">
        <v>1656800</v>
      </c>
      <c r="BO8" s="11">
        <v>4080971</v>
      </c>
      <c r="BP8" s="11">
        <v>197100</v>
      </c>
      <c r="BQ8" s="11">
        <v>929849</v>
      </c>
      <c r="BR8" s="99">
        <f t="shared" si="0"/>
        <v>18998695.11167594</v>
      </c>
      <c r="BS8" s="99">
        <f t="shared" si="1"/>
        <v>55152880.424390621</v>
      </c>
    </row>
    <row r="9" spans="1:71" x14ac:dyDescent="0.25">
      <c r="A9" s="11" t="s">
        <v>243</v>
      </c>
      <c r="B9" s="11"/>
      <c r="C9" s="11"/>
      <c r="D9" s="11"/>
      <c r="E9" s="11"/>
      <c r="F9" s="11"/>
      <c r="G9" s="11"/>
      <c r="H9" s="11"/>
      <c r="I9" s="11"/>
      <c r="J9" s="11">
        <v>834986</v>
      </c>
      <c r="K9" s="11">
        <v>6851</v>
      </c>
      <c r="L9" s="11">
        <v>102045</v>
      </c>
      <c r="M9" s="11">
        <v>241274</v>
      </c>
      <c r="N9" s="11">
        <v>285481</v>
      </c>
      <c r="O9" s="11">
        <v>620101</v>
      </c>
      <c r="P9" s="11"/>
      <c r="Q9" s="11"/>
      <c r="R9" s="11">
        <v>26264</v>
      </c>
      <c r="S9" s="11">
        <v>46560</v>
      </c>
      <c r="T9" s="11">
        <v>6303</v>
      </c>
      <c r="U9" s="11">
        <v>12761</v>
      </c>
      <c r="V9" s="11"/>
      <c r="W9" s="11"/>
      <c r="X9" s="11">
        <v>242777</v>
      </c>
      <c r="Y9" s="11">
        <v>600215</v>
      </c>
      <c r="Z9" s="11">
        <v>39889</v>
      </c>
      <c r="AA9" s="11">
        <v>134670</v>
      </c>
      <c r="AB9" s="11">
        <v>489473</v>
      </c>
      <c r="AC9" s="11">
        <v>1185069</v>
      </c>
      <c r="AD9" s="11">
        <v>723730</v>
      </c>
      <c r="AE9" s="11">
        <v>2161046</v>
      </c>
      <c r="AF9" s="11">
        <v>115521</v>
      </c>
      <c r="AG9" s="11">
        <v>277995</v>
      </c>
      <c r="AH9" s="11">
        <v>63552</v>
      </c>
      <c r="AI9" s="11">
        <v>108195</v>
      </c>
      <c r="AJ9" s="11">
        <v>92879</v>
      </c>
      <c r="AK9" s="11">
        <v>88963</v>
      </c>
      <c r="AL9" s="11">
        <v>32297</v>
      </c>
      <c r="AM9" s="11">
        <v>67657</v>
      </c>
      <c r="AN9" s="11"/>
      <c r="AO9" s="11"/>
      <c r="AP9" s="11">
        <v>1728204.129101658</v>
      </c>
      <c r="AQ9" s="11">
        <v>4346189.5871071946</v>
      </c>
      <c r="AR9" s="11">
        <v>5779110</v>
      </c>
      <c r="AS9" s="11">
        <v>13713738</v>
      </c>
      <c r="AT9" s="11">
        <v>1762964</v>
      </c>
      <c r="AU9" s="11">
        <v>4017624</v>
      </c>
      <c r="AV9" s="11">
        <v>2211</v>
      </c>
      <c r="AW9" s="11">
        <v>4117</v>
      </c>
      <c r="AX9" s="11">
        <v>-249633</v>
      </c>
      <c r="AY9" s="11">
        <v>561310</v>
      </c>
      <c r="AZ9" s="11"/>
      <c r="BA9" s="11"/>
      <c r="BB9" s="11"/>
      <c r="BC9" s="11"/>
      <c r="BD9" s="11">
        <v>101005</v>
      </c>
      <c r="BE9" s="11">
        <v>284766</v>
      </c>
      <c r="BF9" s="11">
        <v>740065</v>
      </c>
      <c r="BG9" s="11">
        <v>1522472</v>
      </c>
      <c r="BH9" s="11">
        <v>63395</v>
      </c>
      <c r="BI9" s="11">
        <v>131107</v>
      </c>
      <c r="BJ9" s="11"/>
      <c r="BK9" s="11"/>
      <c r="BL9" s="11">
        <v>584082</v>
      </c>
      <c r="BM9" s="11">
        <v>-1554450</v>
      </c>
      <c r="BN9" s="11">
        <v>2189450</v>
      </c>
      <c r="BO9" s="11">
        <v>5400765</v>
      </c>
      <c r="BP9" s="11">
        <v>122488</v>
      </c>
      <c r="BQ9" s="11">
        <v>284359</v>
      </c>
      <c r="BR9" s="99">
        <f t="shared" si="0"/>
        <v>15878538.129101658</v>
      </c>
      <c r="BS9" s="99">
        <f t="shared" si="1"/>
        <v>34263354.587107196</v>
      </c>
    </row>
    <row r="10" spans="1:71" x14ac:dyDescent="0.25">
      <c r="A10" s="11" t="s">
        <v>244</v>
      </c>
      <c r="B10" s="11"/>
      <c r="C10" s="11"/>
      <c r="D10" s="11"/>
      <c r="E10" s="11"/>
      <c r="F10" s="11"/>
      <c r="G10" s="11"/>
      <c r="H10" s="11"/>
      <c r="I10" s="11"/>
      <c r="J10" s="11">
        <v>724512</v>
      </c>
      <c r="K10" s="11">
        <v>1336907</v>
      </c>
      <c r="L10" s="11">
        <v>78165</v>
      </c>
      <c r="M10" s="11">
        <v>125785</v>
      </c>
      <c r="N10" s="11">
        <v>225155</v>
      </c>
      <c r="O10" s="11">
        <v>467502</v>
      </c>
      <c r="P10" s="11"/>
      <c r="Q10" s="11"/>
      <c r="R10" s="11">
        <v>126556</v>
      </c>
      <c r="S10" s="11">
        <v>267180</v>
      </c>
      <c r="T10" s="11">
        <v>4092</v>
      </c>
      <c r="U10" s="11">
        <v>6998</v>
      </c>
      <c r="V10" s="11"/>
      <c r="W10" s="11"/>
      <c r="X10" s="11">
        <v>231351</v>
      </c>
      <c r="Y10" s="11">
        <v>435652</v>
      </c>
      <c r="Z10" s="11">
        <v>37469</v>
      </c>
      <c r="AA10" s="11">
        <v>69052</v>
      </c>
      <c r="AB10" s="11">
        <v>364043</v>
      </c>
      <c r="AC10" s="11">
        <v>662234</v>
      </c>
      <c r="AD10" s="11">
        <v>619222</v>
      </c>
      <c r="AE10" s="11">
        <v>1096241</v>
      </c>
      <c r="AF10" s="11">
        <v>150774</v>
      </c>
      <c r="AG10" s="11">
        <v>275765</v>
      </c>
      <c r="AH10" s="11">
        <v>17490</v>
      </c>
      <c r="AI10" s="11">
        <v>33894</v>
      </c>
      <c r="AJ10" s="11">
        <v>38218</v>
      </c>
      <c r="AK10" s="11">
        <v>43314</v>
      </c>
      <c r="AL10" s="11">
        <v>22760</v>
      </c>
      <c r="AM10" s="11">
        <v>37764</v>
      </c>
      <c r="AN10" s="11"/>
      <c r="AO10" s="11"/>
      <c r="AP10" s="11">
        <v>1644641.207101658</v>
      </c>
      <c r="AQ10" s="11">
        <v>3739884.8151071947</v>
      </c>
      <c r="AR10" s="11">
        <v>5842387</v>
      </c>
      <c r="AS10" s="11">
        <v>11032209</v>
      </c>
      <c r="AT10" s="11">
        <v>1657809</v>
      </c>
      <c r="AU10" s="11">
        <v>3740170</v>
      </c>
      <c r="AV10" s="11">
        <v>2554</v>
      </c>
      <c r="AW10" s="11">
        <v>3567</v>
      </c>
      <c r="AX10" s="11">
        <v>313335</v>
      </c>
      <c r="AY10" s="11">
        <v>706756</v>
      </c>
      <c r="AZ10" s="11"/>
      <c r="BA10" s="11"/>
      <c r="BB10" s="11"/>
      <c r="BC10" s="11"/>
      <c r="BD10" s="11">
        <v>97610</v>
      </c>
      <c r="BE10" s="11">
        <v>168908</v>
      </c>
      <c r="BF10" s="11">
        <v>490489</v>
      </c>
      <c r="BG10" s="11">
        <v>946954</v>
      </c>
      <c r="BH10" s="11">
        <v>48764</v>
      </c>
      <c r="BI10" s="11">
        <v>92343</v>
      </c>
      <c r="BJ10" s="11"/>
      <c r="BK10" s="11"/>
      <c r="BL10" s="11">
        <v>518373</v>
      </c>
      <c r="BM10" s="11">
        <v>816588</v>
      </c>
      <c r="BN10" s="11">
        <v>1746260</v>
      </c>
      <c r="BO10" s="11">
        <v>4353650</v>
      </c>
      <c r="BP10" s="11">
        <v>133106</v>
      </c>
      <c r="BQ10" s="11">
        <v>251679</v>
      </c>
      <c r="BR10" s="99">
        <f t="shared" si="0"/>
        <v>15135135.207101658</v>
      </c>
      <c r="BS10" s="99">
        <f t="shared" si="1"/>
        <v>30710996.815107197</v>
      </c>
    </row>
    <row r="12" spans="1:71" x14ac:dyDescent="0.25">
      <c r="A12" s="31" t="s">
        <v>231</v>
      </c>
    </row>
    <row r="13" spans="1:71" x14ac:dyDescent="0.25">
      <c r="A13" s="1" t="s">
        <v>0</v>
      </c>
      <c r="B13" s="105" t="s">
        <v>1</v>
      </c>
      <c r="C13" s="106"/>
      <c r="D13" s="105" t="s">
        <v>2</v>
      </c>
      <c r="E13" s="106"/>
      <c r="F13" s="105" t="s">
        <v>3</v>
      </c>
      <c r="G13" s="106"/>
      <c r="H13" s="105" t="s">
        <v>4</v>
      </c>
      <c r="I13" s="106"/>
      <c r="J13" s="105" t="s">
        <v>5</v>
      </c>
      <c r="K13" s="106"/>
      <c r="L13" s="105" t="s">
        <v>6</v>
      </c>
      <c r="M13" s="106"/>
      <c r="N13" s="105" t="s">
        <v>7</v>
      </c>
      <c r="O13" s="106"/>
      <c r="P13" s="105" t="s">
        <v>8</v>
      </c>
      <c r="Q13" s="106"/>
      <c r="R13" s="105" t="s">
        <v>9</v>
      </c>
      <c r="S13" s="106"/>
      <c r="T13" s="105" t="s">
        <v>10</v>
      </c>
      <c r="U13" s="106"/>
      <c r="V13" s="105" t="s">
        <v>11</v>
      </c>
      <c r="W13" s="106"/>
      <c r="X13" s="105" t="s">
        <v>12</v>
      </c>
      <c r="Y13" s="106"/>
      <c r="Z13" s="105" t="s">
        <v>13</v>
      </c>
      <c r="AA13" s="106"/>
      <c r="AB13" s="105" t="s">
        <v>14</v>
      </c>
      <c r="AC13" s="106"/>
      <c r="AD13" s="105" t="s">
        <v>15</v>
      </c>
      <c r="AE13" s="106"/>
      <c r="AF13" s="105" t="s">
        <v>16</v>
      </c>
      <c r="AG13" s="106"/>
      <c r="AH13" s="105" t="s">
        <v>17</v>
      </c>
      <c r="AI13" s="106"/>
      <c r="AJ13" s="105" t="s">
        <v>18</v>
      </c>
      <c r="AK13" s="106"/>
      <c r="AL13" s="105" t="s">
        <v>19</v>
      </c>
      <c r="AM13" s="106"/>
      <c r="AN13" s="105" t="s">
        <v>20</v>
      </c>
      <c r="AO13" s="106"/>
      <c r="AP13" s="105" t="s">
        <v>21</v>
      </c>
      <c r="AQ13" s="106"/>
      <c r="AR13" s="105" t="s">
        <v>22</v>
      </c>
      <c r="AS13" s="106"/>
      <c r="AT13" s="105" t="s">
        <v>23</v>
      </c>
      <c r="AU13" s="106"/>
      <c r="AV13" s="105" t="s">
        <v>24</v>
      </c>
      <c r="AW13" s="106"/>
      <c r="AX13" s="105" t="s">
        <v>25</v>
      </c>
      <c r="AY13" s="106"/>
      <c r="AZ13" s="105" t="s">
        <v>26</v>
      </c>
      <c r="BA13" s="106"/>
      <c r="BB13" s="105" t="s">
        <v>27</v>
      </c>
      <c r="BC13" s="106"/>
      <c r="BD13" s="105" t="s">
        <v>28</v>
      </c>
      <c r="BE13" s="106"/>
      <c r="BF13" s="105" t="s">
        <v>29</v>
      </c>
      <c r="BG13" s="106"/>
      <c r="BH13" s="105" t="s">
        <v>30</v>
      </c>
      <c r="BI13" s="106"/>
      <c r="BJ13" s="105" t="s">
        <v>31</v>
      </c>
      <c r="BK13" s="106"/>
      <c r="BL13" s="105" t="s">
        <v>32</v>
      </c>
      <c r="BM13" s="106"/>
      <c r="BN13" s="109" t="s">
        <v>33</v>
      </c>
      <c r="BO13" s="110"/>
      <c r="BP13" s="105" t="s">
        <v>34</v>
      </c>
      <c r="BQ13" s="106"/>
      <c r="BR13" s="107" t="s">
        <v>35</v>
      </c>
      <c r="BS13" s="108"/>
    </row>
    <row r="14" spans="1:71" ht="30" x14ac:dyDescent="0.25">
      <c r="A14" s="1"/>
      <c r="B14" s="76" t="s">
        <v>295</v>
      </c>
      <c r="C14" s="77" t="s">
        <v>296</v>
      </c>
      <c r="D14" s="76" t="s">
        <v>295</v>
      </c>
      <c r="E14" s="77" t="s">
        <v>296</v>
      </c>
      <c r="F14" s="76" t="s">
        <v>295</v>
      </c>
      <c r="G14" s="77" t="s">
        <v>296</v>
      </c>
      <c r="H14" s="76" t="s">
        <v>295</v>
      </c>
      <c r="I14" s="77" t="s">
        <v>296</v>
      </c>
      <c r="J14" s="76" t="s">
        <v>295</v>
      </c>
      <c r="K14" s="77" t="s">
        <v>296</v>
      </c>
      <c r="L14" s="76" t="s">
        <v>295</v>
      </c>
      <c r="M14" s="77" t="s">
        <v>296</v>
      </c>
      <c r="N14" s="76" t="s">
        <v>295</v>
      </c>
      <c r="O14" s="77" t="s">
        <v>296</v>
      </c>
      <c r="P14" s="76" t="s">
        <v>295</v>
      </c>
      <c r="Q14" s="77" t="s">
        <v>296</v>
      </c>
      <c r="R14" s="76" t="s">
        <v>295</v>
      </c>
      <c r="S14" s="77" t="s">
        <v>296</v>
      </c>
      <c r="T14" s="76" t="s">
        <v>295</v>
      </c>
      <c r="U14" s="77" t="s">
        <v>296</v>
      </c>
      <c r="V14" s="76" t="s">
        <v>295</v>
      </c>
      <c r="W14" s="77" t="s">
        <v>296</v>
      </c>
      <c r="X14" s="76" t="s">
        <v>295</v>
      </c>
      <c r="Y14" s="77" t="s">
        <v>296</v>
      </c>
      <c r="Z14" s="76" t="s">
        <v>295</v>
      </c>
      <c r="AA14" s="77" t="s">
        <v>296</v>
      </c>
      <c r="AB14" s="76" t="s">
        <v>295</v>
      </c>
      <c r="AC14" s="77" t="s">
        <v>296</v>
      </c>
      <c r="AD14" s="76" t="s">
        <v>295</v>
      </c>
      <c r="AE14" s="77" t="s">
        <v>296</v>
      </c>
      <c r="AF14" s="76" t="s">
        <v>295</v>
      </c>
      <c r="AG14" s="77" t="s">
        <v>296</v>
      </c>
      <c r="AH14" s="76" t="s">
        <v>295</v>
      </c>
      <c r="AI14" s="77" t="s">
        <v>296</v>
      </c>
      <c r="AJ14" s="76" t="s">
        <v>295</v>
      </c>
      <c r="AK14" s="77" t="s">
        <v>296</v>
      </c>
      <c r="AL14" s="76" t="s">
        <v>295</v>
      </c>
      <c r="AM14" s="77" t="s">
        <v>296</v>
      </c>
      <c r="AN14" s="76" t="s">
        <v>295</v>
      </c>
      <c r="AO14" s="77" t="s">
        <v>296</v>
      </c>
      <c r="AP14" s="76" t="s">
        <v>295</v>
      </c>
      <c r="AQ14" s="77" t="s">
        <v>296</v>
      </c>
      <c r="AR14" s="76" t="s">
        <v>295</v>
      </c>
      <c r="AS14" s="77" t="s">
        <v>296</v>
      </c>
      <c r="AT14" s="76" t="s">
        <v>295</v>
      </c>
      <c r="AU14" s="77" t="s">
        <v>296</v>
      </c>
      <c r="AV14" s="76" t="s">
        <v>295</v>
      </c>
      <c r="AW14" s="77" t="s">
        <v>296</v>
      </c>
      <c r="AX14" s="76" t="s">
        <v>295</v>
      </c>
      <c r="AY14" s="77" t="s">
        <v>296</v>
      </c>
      <c r="AZ14" s="76" t="s">
        <v>295</v>
      </c>
      <c r="BA14" s="77" t="s">
        <v>296</v>
      </c>
      <c r="BB14" s="76" t="s">
        <v>295</v>
      </c>
      <c r="BC14" s="77" t="s">
        <v>296</v>
      </c>
      <c r="BD14" s="76" t="s">
        <v>295</v>
      </c>
      <c r="BE14" s="77" t="s">
        <v>296</v>
      </c>
      <c r="BF14" s="76" t="s">
        <v>295</v>
      </c>
      <c r="BG14" s="77" t="s">
        <v>296</v>
      </c>
      <c r="BH14" s="76" t="s">
        <v>295</v>
      </c>
      <c r="BI14" s="77" t="s">
        <v>296</v>
      </c>
      <c r="BJ14" s="76" t="s">
        <v>295</v>
      </c>
      <c r="BK14" s="77" t="s">
        <v>296</v>
      </c>
      <c r="BL14" s="76" t="s">
        <v>295</v>
      </c>
      <c r="BM14" s="77" t="s">
        <v>296</v>
      </c>
      <c r="BN14" s="76" t="s">
        <v>295</v>
      </c>
      <c r="BO14" s="77" t="s">
        <v>296</v>
      </c>
      <c r="BP14" s="76" t="s">
        <v>295</v>
      </c>
      <c r="BQ14" s="77" t="s">
        <v>296</v>
      </c>
      <c r="BR14" s="95" t="s">
        <v>295</v>
      </c>
      <c r="BS14" s="96" t="s">
        <v>296</v>
      </c>
    </row>
    <row r="15" spans="1:71" x14ac:dyDescent="0.25">
      <c r="A15" s="11" t="s">
        <v>285</v>
      </c>
      <c r="B15" s="11"/>
      <c r="C15" s="11"/>
      <c r="D15" s="11"/>
      <c r="E15" s="11"/>
      <c r="F15" s="11"/>
      <c r="G15" s="11"/>
      <c r="H15" s="11"/>
      <c r="I15" s="11"/>
      <c r="J15" s="11">
        <v>342616</v>
      </c>
      <c r="K15" s="11">
        <v>935647</v>
      </c>
      <c r="L15" s="11">
        <v>212283</v>
      </c>
      <c r="M15" s="11">
        <v>450762</v>
      </c>
      <c r="N15" s="11">
        <v>241320</v>
      </c>
      <c r="O15" s="11">
        <v>449734</v>
      </c>
      <c r="P15" s="11"/>
      <c r="Q15" s="11"/>
      <c r="R15" s="11"/>
      <c r="S15" s="11"/>
      <c r="T15" s="11">
        <v>2457</v>
      </c>
      <c r="U15" s="11">
        <v>3382</v>
      </c>
      <c r="V15" s="11"/>
      <c r="W15" s="11"/>
      <c r="X15" s="11">
        <v>135839</v>
      </c>
      <c r="Y15" s="11">
        <v>355982</v>
      </c>
      <c r="Z15" s="11">
        <v>8888</v>
      </c>
      <c r="AA15" s="11">
        <v>8917</v>
      </c>
      <c r="AB15" s="11">
        <f>17672+372651</f>
        <v>390323</v>
      </c>
      <c r="AC15" s="11">
        <f>68904+926084</f>
        <v>994988</v>
      </c>
      <c r="AD15" s="11">
        <v>1051744</v>
      </c>
      <c r="AE15" s="11">
        <v>2528292</v>
      </c>
      <c r="AF15" s="11">
        <v>480392</v>
      </c>
      <c r="AG15" s="11">
        <v>965304</v>
      </c>
      <c r="AH15" s="11"/>
      <c r="AI15" s="11"/>
      <c r="AJ15" s="11">
        <v>63191</v>
      </c>
      <c r="AK15" s="11">
        <v>161179</v>
      </c>
      <c r="AL15" s="11">
        <v>50698</v>
      </c>
      <c r="AM15" s="11">
        <v>85050</v>
      </c>
      <c r="AN15" s="11"/>
      <c r="AO15" s="11"/>
      <c r="AP15" s="11">
        <v>454054.02727515507</v>
      </c>
      <c r="AQ15" s="11">
        <v>1140136.2018276751</v>
      </c>
      <c r="AR15" s="11">
        <v>1924174</v>
      </c>
      <c r="AS15" s="11">
        <v>4051684</v>
      </c>
      <c r="AT15" s="11">
        <v>824642</v>
      </c>
      <c r="AU15" s="11">
        <v>1816792</v>
      </c>
      <c r="AV15" s="11">
        <v>205</v>
      </c>
      <c r="AW15" s="11">
        <v>141</v>
      </c>
      <c r="AX15" s="11">
        <v>209110</v>
      </c>
      <c r="AY15" s="11">
        <v>823529</v>
      </c>
      <c r="AZ15" s="11"/>
      <c r="BA15" s="11"/>
      <c r="BB15" s="11"/>
      <c r="BC15" s="11"/>
      <c r="BD15" s="11">
        <v>69969</v>
      </c>
      <c r="BE15" s="11">
        <v>211535</v>
      </c>
      <c r="BF15" s="11">
        <v>80881</v>
      </c>
      <c r="BG15" s="11">
        <v>163281</v>
      </c>
      <c r="BH15" s="11">
        <v>4206</v>
      </c>
      <c r="BI15" s="11">
        <v>8891</v>
      </c>
      <c r="BJ15" s="11"/>
      <c r="BK15" s="11"/>
      <c r="BL15" s="11">
        <v>782711</v>
      </c>
      <c r="BM15" s="11">
        <v>1769477</v>
      </c>
      <c r="BN15" s="11">
        <v>953179</v>
      </c>
      <c r="BO15" s="11">
        <v>1966304</v>
      </c>
      <c r="BP15" s="11">
        <f>56060+56619</f>
        <v>112679</v>
      </c>
      <c r="BQ15" s="11">
        <f>63471+102729</f>
        <v>166200</v>
      </c>
      <c r="BR15" s="99">
        <f t="shared" ref="BR15:BR19" si="2">SUM(B15+D15+F15+H15+J15+L15+N15+P15+R15+T15+V15+X15+Z15+AB15+AD15+AF15+AH15+AJ15+AL15+AN15+AP15+AR15+AT15+AV15+AX15+AZ15+BB15+BD15+BF15+BH15+BJ15+BL15+BN15+BP15)</f>
        <v>8395561.0272751562</v>
      </c>
      <c r="BS15" s="99">
        <f t="shared" ref="BS15:BS19" si="3">SUM(C15+E15+G15+I15+K15+M15+O15+Q15+S15+U15+W15+Y15+AA15+AC15+AE15+AG15+AI15+AK15+AM15+AO15+AQ15+AS15+AU15+AW15+AY15+BA15+BC15+BE15+BG15+BI15+BK15+BM15+BO15+BQ15)</f>
        <v>19057207.201827675</v>
      </c>
    </row>
    <row r="16" spans="1:71" x14ac:dyDescent="0.25">
      <c r="A16" s="11" t="s">
        <v>288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>
        <v>535</v>
      </c>
      <c r="M16" s="11">
        <v>6681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>
        <v>5544</v>
      </c>
      <c r="Y16" s="11">
        <v>11232</v>
      </c>
      <c r="Z16" s="11">
        <v>236</v>
      </c>
      <c r="AA16" s="11">
        <v>473</v>
      </c>
      <c r="AB16" s="11">
        <v>16336</v>
      </c>
      <c r="AC16" s="11">
        <v>66879</v>
      </c>
      <c r="AD16" s="11">
        <v>51362</v>
      </c>
      <c r="AE16" s="11">
        <v>120688</v>
      </c>
      <c r="AF16" s="11">
        <v>4193</v>
      </c>
      <c r="AG16" s="11">
        <v>9259</v>
      </c>
      <c r="AH16" s="11"/>
      <c r="AI16" s="11"/>
      <c r="AJ16" s="11"/>
      <c r="AK16" s="11"/>
      <c r="AL16" s="11">
        <v>633</v>
      </c>
      <c r="AM16" s="11">
        <v>20882</v>
      </c>
      <c r="AN16" s="11"/>
      <c r="AO16" s="11"/>
      <c r="AP16" s="11">
        <v>9353.4967199999992</v>
      </c>
      <c r="AQ16" s="11">
        <v>90972.833719999995</v>
      </c>
      <c r="AR16" s="11">
        <v>149342</v>
      </c>
      <c r="AS16" s="11">
        <v>284816</v>
      </c>
      <c r="AT16" s="11">
        <v>29137</v>
      </c>
      <c r="AU16" s="11">
        <v>118697</v>
      </c>
      <c r="AV16" s="11"/>
      <c r="AW16" s="11"/>
      <c r="AX16" s="11"/>
      <c r="AY16" s="11"/>
      <c r="AZ16" s="11"/>
      <c r="BA16" s="11"/>
      <c r="BB16" s="11"/>
      <c r="BC16" s="11"/>
      <c r="BD16" s="11">
        <v>3288</v>
      </c>
      <c r="BE16" s="11">
        <v>3686</v>
      </c>
      <c r="BF16" s="11"/>
      <c r="BG16" s="11"/>
      <c r="BH16" s="11"/>
      <c r="BI16" s="11"/>
      <c r="BJ16" s="11"/>
      <c r="BK16" s="11"/>
      <c r="BL16" s="11">
        <v>63942</v>
      </c>
      <c r="BM16" s="11">
        <v>174724</v>
      </c>
      <c r="BN16" s="11">
        <v>5373</v>
      </c>
      <c r="BO16" s="11">
        <v>63179</v>
      </c>
      <c r="BP16" s="11"/>
      <c r="BQ16" s="11"/>
      <c r="BR16" s="99">
        <f t="shared" si="2"/>
        <v>339274.49672</v>
      </c>
      <c r="BS16" s="99">
        <f t="shared" si="3"/>
        <v>972168.83372</v>
      </c>
    </row>
    <row r="17" spans="1:71" x14ac:dyDescent="0.25">
      <c r="A17" s="11" t="s">
        <v>289</v>
      </c>
      <c r="B17" s="11"/>
      <c r="C17" s="11"/>
      <c r="D17" s="11"/>
      <c r="E17" s="11"/>
      <c r="F17" s="11"/>
      <c r="G17" s="11"/>
      <c r="H17" s="11"/>
      <c r="I17" s="11"/>
      <c r="J17" s="11">
        <v>111248</v>
      </c>
      <c r="K17" s="11">
        <v>326105</v>
      </c>
      <c r="L17" s="11">
        <v>80593</v>
      </c>
      <c r="M17" s="11">
        <v>149471</v>
      </c>
      <c r="N17" s="11">
        <v>186766</v>
      </c>
      <c r="O17" s="11">
        <v>330726</v>
      </c>
      <c r="P17" s="11"/>
      <c r="Q17" s="11"/>
      <c r="R17" s="11"/>
      <c r="S17" s="11"/>
      <c r="T17" s="11">
        <v>2233</v>
      </c>
      <c r="U17" s="11">
        <v>3966</v>
      </c>
      <c r="V17" s="11"/>
      <c r="W17" s="11"/>
      <c r="X17" s="11">
        <v>20901</v>
      </c>
      <c r="Y17" s="11">
        <v>69229</v>
      </c>
      <c r="Z17" s="11">
        <v>8949</v>
      </c>
      <c r="AA17" s="11">
        <v>9165</v>
      </c>
      <c r="AB17" s="11">
        <f>-17627-228624</f>
        <v>-246251</v>
      </c>
      <c r="AC17" s="11">
        <f>-68814-555709</f>
        <v>-624523</v>
      </c>
      <c r="AD17" s="11">
        <v>526855</v>
      </c>
      <c r="AE17" s="11">
        <v>1107511</v>
      </c>
      <c r="AF17" s="11">
        <v>281713</v>
      </c>
      <c r="AG17" s="11">
        <v>532451</v>
      </c>
      <c r="AH17" s="11"/>
      <c r="AI17" s="11"/>
      <c r="AJ17" s="11">
        <v>2048</v>
      </c>
      <c r="AK17" s="11">
        <v>41509</v>
      </c>
      <c r="AL17" s="11">
        <v>-48720</v>
      </c>
      <c r="AM17" s="11">
        <v>-100578</v>
      </c>
      <c r="AN17" s="11"/>
      <c r="AO17" s="11"/>
      <c r="AP17" s="11">
        <v>165811.25688627094</v>
      </c>
      <c r="AQ17" s="11">
        <v>475049.87274287897</v>
      </c>
      <c r="AR17" s="11">
        <v>945968</v>
      </c>
      <c r="AS17" s="11">
        <v>1966423</v>
      </c>
      <c r="AT17" s="11">
        <v>407369</v>
      </c>
      <c r="AU17" s="11">
        <v>815183</v>
      </c>
      <c r="AV17" s="11">
        <v>64</v>
      </c>
      <c r="AW17" s="11">
        <v>29</v>
      </c>
      <c r="AX17" s="11">
        <v>140005</v>
      </c>
      <c r="AY17" s="11">
        <v>709538</v>
      </c>
      <c r="AZ17" s="11"/>
      <c r="BA17" s="11"/>
      <c r="BB17" s="11"/>
      <c r="BC17" s="11"/>
      <c r="BD17" s="11">
        <v>-35708</v>
      </c>
      <c r="BE17" s="11">
        <v>-112089</v>
      </c>
      <c r="BF17" s="11">
        <v>25592</v>
      </c>
      <c r="BG17" s="11">
        <v>48433</v>
      </c>
      <c r="BH17" s="11">
        <v>1461</v>
      </c>
      <c r="BI17" s="11">
        <v>3433</v>
      </c>
      <c r="BJ17" s="11"/>
      <c r="BK17" s="11"/>
      <c r="BL17" s="11">
        <v>63685</v>
      </c>
      <c r="BM17" s="11">
        <v>240745</v>
      </c>
      <c r="BN17" s="11">
        <v>287158</v>
      </c>
      <c r="BO17" s="11">
        <v>729405</v>
      </c>
      <c r="BP17" s="11">
        <f>54657+38158</f>
        <v>92815</v>
      </c>
      <c r="BQ17" s="11">
        <f>61791+63815</f>
        <v>125606</v>
      </c>
      <c r="BR17" s="99">
        <f t="shared" si="2"/>
        <v>3020555.2568862708</v>
      </c>
      <c r="BS17" s="99">
        <f t="shared" si="3"/>
        <v>6846787.8727428792</v>
      </c>
    </row>
    <row r="18" spans="1:71" x14ac:dyDescent="0.25">
      <c r="A18" s="11" t="s">
        <v>243</v>
      </c>
      <c r="B18" s="11"/>
      <c r="C18" s="11"/>
      <c r="D18" s="11"/>
      <c r="E18" s="11"/>
      <c r="F18" s="11"/>
      <c r="G18" s="11"/>
      <c r="H18" s="11"/>
      <c r="I18" s="11"/>
      <c r="J18" s="11">
        <v>231368</v>
      </c>
      <c r="K18" s="11">
        <v>609542</v>
      </c>
      <c r="L18" s="11">
        <v>132225</v>
      </c>
      <c r="M18" s="11">
        <v>307972</v>
      </c>
      <c r="N18" s="11">
        <v>54554</v>
      </c>
      <c r="O18" s="11">
        <v>119008</v>
      </c>
      <c r="P18" s="11"/>
      <c r="Q18" s="11"/>
      <c r="R18" s="11"/>
      <c r="S18" s="11"/>
      <c r="T18" s="11">
        <v>224</v>
      </c>
      <c r="U18" s="11">
        <v>-584</v>
      </c>
      <c r="V18" s="11"/>
      <c r="W18" s="11"/>
      <c r="X18" s="11">
        <v>120483</v>
      </c>
      <c r="Y18" s="11">
        <v>297985</v>
      </c>
      <c r="Z18" s="11">
        <v>175</v>
      </c>
      <c r="AA18" s="11">
        <v>225</v>
      </c>
      <c r="AB18" s="11">
        <f>45+160363</f>
        <v>160408</v>
      </c>
      <c r="AC18" s="11">
        <f>91+437254</f>
        <v>437345</v>
      </c>
      <c r="AD18" s="11">
        <v>576251</v>
      </c>
      <c r="AE18" s="11">
        <v>1541469</v>
      </c>
      <c r="AF18" s="11">
        <v>202872</v>
      </c>
      <c r="AG18" s="11">
        <v>442112</v>
      </c>
      <c r="AH18" s="11"/>
      <c r="AI18" s="11"/>
      <c r="AJ18" s="11">
        <v>61142</v>
      </c>
      <c r="AK18" s="11">
        <v>119670</v>
      </c>
      <c r="AL18" s="11">
        <v>2611</v>
      </c>
      <c r="AM18" s="11">
        <v>5354</v>
      </c>
      <c r="AN18" s="11"/>
      <c r="AO18" s="11"/>
      <c r="AP18" s="11">
        <v>297596.26710888406</v>
      </c>
      <c r="AQ18" s="11">
        <v>756059.16280479613</v>
      </c>
      <c r="AR18" s="11">
        <v>1127549</v>
      </c>
      <c r="AS18" s="11">
        <v>2370076</v>
      </c>
      <c r="AT18" s="11">
        <v>446410</v>
      </c>
      <c r="AU18" s="11">
        <v>1120306</v>
      </c>
      <c r="AV18" s="11">
        <v>141</v>
      </c>
      <c r="AW18" s="11">
        <v>111</v>
      </c>
      <c r="AX18" s="11">
        <v>69105</v>
      </c>
      <c r="AY18" s="11">
        <v>113991</v>
      </c>
      <c r="AZ18" s="11"/>
      <c r="BA18" s="11"/>
      <c r="BB18" s="11"/>
      <c r="BC18" s="11"/>
      <c r="BD18" s="11">
        <v>37549</v>
      </c>
      <c r="BE18" s="11">
        <v>103132</v>
      </c>
      <c r="BF18" s="11">
        <v>55289</v>
      </c>
      <c r="BG18" s="11">
        <v>114848</v>
      </c>
      <c r="BH18" s="11">
        <v>2745</v>
      </c>
      <c r="BI18" s="11">
        <v>5458</v>
      </c>
      <c r="BJ18" s="11"/>
      <c r="BK18" s="11"/>
      <c r="BL18" s="11">
        <v>782968</v>
      </c>
      <c r="BM18" s="11">
        <v>1703456</v>
      </c>
      <c r="BN18" s="11">
        <v>671394</v>
      </c>
      <c r="BO18" s="11">
        <v>1300078</v>
      </c>
      <c r="BP18" s="11">
        <f>1403+18461</f>
        <v>19864</v>
      </c>
      <c r="BQ18" s="11">
        <f>1680+38914</f>
        <v>40594</v>
      </c>
      <c r="BR18" s="99">
        <f t="shared" si="2"/>
        <v>5052923.2671088837</v>
      </c>
      <c r="BS18" s="99">
        <f t="shared" si="3"/>
        <v>11508207.162804797</v>
      </c>
    </row>
    <row r="19" spans="1:71" x14ac:dyDescent="0.25">
      <c r="A19" s="11" t="s">
        <v>244</v>
      </c>
      <c r="B19" s="11"/>
      <c r="C19" s="11"/>
      <c r="D19" s="11"/>
      <c r="E19" s="11"/>
      <c r="F19" s="11"/>
      <c r="G19" s="11"/>
      <c r="H19" s="11"/>
      <c r="I19" s="11"/>
      <c r="J19" s="11">
        <v>270643</v>
      </c>
      <c r="K19" s="11">
        <v>542601</v>
      </c>
      <c r="L19" s="11">
        <v>109480</v>
      </c>
      <c r="M19" s="11">
        <v>204079</v>
      </c>
      <c r="N19" s="11">
        <v>42769</v>
      </c>
      <c r="O19" s="11">
        <v>89889</v>
      </c>
      <c r="P19" s="11"/>
      <c r="Q19" s="11"/>
      <c r="R19" s="11"/>
      <c r="S19" s="11"/>
      <c r="T19" s="11">
        <v>-244</v>
      </c>
      <c r="U19" s="11">
        <v>-1051</v>
      </c>
      <c r="V19" s="11"/>
      <c r="W19" s="11"/>
      <c r="X19" s="11">
        <v>130733</v>
      </c>
      <c r="Y19" s="11">
        <v>253638</v>
      </c>
      <c r="Z19" s="11">
        <v>120</v>
      </c>
      <c r="AA19" s="11">
        <v>148</v>
      </c>
      <c r="AB19" s="11">
        <f>58+180232</f>
        <v>180290</v>
      </c>
      <c r="AC19" s="11">
        <f>147+370157</f>
        <v>370304</v>
      </c>
      <c r="AD19" s="11">
        <v>639155</v>
      </c>
      <c r="AE19" s="11">
        <v>1223315</v>
      </c>
      <c r="AF19" s="11">
        <v>181116</v>
      </c>
      <c r="AG19" s="11">
        <v>342747</v>
      </c>
      <c r="AH19" s="11"/>
      <c r="AI19" s="11"/>
      <c r="AJ19" s="11">
        <v>58770</v>
      </c>
      <c r="AK19" s="11">
        <v>107770</v>
      </c>
      <c r="AL19" s="11">
        <v>2916</v>
      </c>
      <c r="AM19" s="11">
        <v>4702</v>
      </c>
      <c r="AN19" s="11"/>
      <c r="AO19" s="11"/>
      <c r="AP19" s="11">
        <v>238670.82330888417</v>
      </c>
      <c r="AQ19" s="11">
        <v>768644.99974479608</v>
      </c>
      <c r="AR19" s="11">
        <v>1166365</v>
      </c>
      <c r="AS19" s="11">
        <v>1978748</v>
      </c>
      <c r="AT19" s="11">
        <v>458249</v>
      </c>
      <c r="AU19" s="11">
        <v>1081669</v>
      </c>
      <c r="AV19" s="11">
        <v>44</v>
      </c>
      <c r="AW19" s="11">
        <v>121</v>
      </c>
      <c r="AX19" s="11">
        <v>18860</v>
      </c>
      <c r="AY19" s="11">
        <v>32118</v>
      </c>
      <c r="AZ19" s="11"/>
      <c r="BA19" s="11"/>
      <c r="BB19" s="11"/>
      <c r="BC19" s="11"/>
      <c r="BD19" s="11">
        <v>43044</v>
      </c>
      <c r="BE19" s="11">
        <v>99589</v>
      </c>
      <c r="BF19" s="11">
        <v>45369</v>
      </c>
      <c r="BG19" s="11">
        <v>57444</v>
      </c>
      <c r="BH19" s="11">
        <v>2731</v>
      </c>
      <c r="BI19" s="11">
        <v>5285</v>
      </c>
      <c r="BJ19" s="11"/>
      <c r="BK19" s="11"/>
      <c r="BL19" s="11">
        <v>777932</v>
      </c>
      <c r="BM19" s="11">
        <v>1496746</v>
      </c>
      <c r="BN19" s="11">
        <v>533264</v>
      </c>
      <c r="BO19" s="11">
        <v>1111664</v>
      </c>
      <c r="BP19" s="11">
        <f>9922+148</f>
        <v>10070</v>
      </c>
      <c r="BQ19" s="11">
        <f>24688+287</f>
        <v>24975</v>
      </c>
      <c r="BR19" s="99">
        <f t="shared" si="2"/>
        <v>4910346.8233088842</v>
      </c>
      <c r="BS19" s="99">
        <f t="shared" si="3"/>
        <v>9795145.9997447953</v>
      </c>
    </row>
    <row r="21" spans="1:71" x14ac:dyDescent="0.25">
      <c r="A21" s="31" t="s">
        <v>232</v>
      </c>
    </row>
    <row r="22" spans="1:71" x14ac:dyDescent="0.25">
      <c r="A22" s="1" t="s">
        <v>0</v>
      </c>
      <c r="B22" s="105" t="s">
        <v>1</v>
      </c>
      <c r="C22" s="106"/>
      <c r="D22" s="105" t="s">
        <v>2</v>
      </c>
      <c r="E22" s="106"/>
      <c r="F22" s="105" t="s">
        <v>3</v>
      </c>
      <c r="G22" s="106"/>
      <c r="H22" s="105" t="s">
        <v>4</v>
      </c>
      <c r="I22" s="106"/>
      <c r="J22" s="105" t="s">
        <v>5</v>
      </c>
      <c r="K22" s="106"/>
      <c r="L22" s="105" t="s">
        <v>6</v>
      </c>
      <c r="M22" s="106"/>
      <c r="N22" s="105" t="s">
        <v>7</v>
      </c>
      <c r="O22" s="106"/>
      <c r="P22" s="105" t="s">
        <v>8</v>
      </c>
      <c r="Q22" s="106"/>
      <c r="R22" s="105" t="s">
        <v>9</v>
      </c>
      <c r="S22" s="106"/>
      <c r="T22" s="105" t="s">
        <v>10</v>
      </c>
      <c r="U22" s="106"/>
      <c r="V22" s="105" t="s">
        <v>11</v>
      </c>
      <c r="W22" s="106"/>
      <c r="X22" s="105" t="s">
        <v>12</v>
      </c>
      <c r="Y22" s="106"/>
      <c r="Z22" s="105" t="s">
        <v>13</v>
      </c>
      <c r="AA22" s="106"/>
      <c r="AB22" s="105" t="s">
        <v>14</v>
      </c>
      <c r="AC22" s="106"/>
      <c r="AD22" s="105" t="s">
        <v>15</v>
      </c>
      <c r="AE22" s="106"/>
      <c r="AF22" s="105" t="s">
        <v>16</v>
      </c>
      <c r="AG22" s="106"/>
      <c r="AH22" s="105" t="s">
        <v>17</v>
      </c>
      <c r="AI22" s="106"/>
      <c r="AJ22" s="105" t="s">
        <v>18</v>
      </c>
      <c r="AK22" s="106"/>
      <c r="AL22" s="105" t="s">
        <v>19</v>
      </c>
      <c r="AM22" s="106"/>
      <c r="AN22" s="105" t="s">
        <v>20</v>
      </c>
      <c r="AO22" s="106"/>
      <c r="AP22" s="105" t="s">
        <v>21</v>
      </c>
      <c r="AQ22" s="106"/>
      <c r="AR22" s="105" t="s">
        <v>22</v>
      </c>
      <c r="AS22" s="106"/>
      <c r="AT22" s="105" t="s">
        <v>23</v>
      </c>
      <c r="AU22" s="106"/>
      <c r="AV22" s="105" t="s">
        <v>24</v>
      </c>
      <c r="AW22" s="106"/>
      <c r="AX22" s="105" t="s">
        <v>25</v>
      </c>
      <c r="AY22" s="106"/>
      <c r="AZ22" s="105" t="s">
        <v>26</v>
      </c>
      <c r="BA22" s="106"/>
      <c r="BB22" s="105" t="s">
        <v>27</v>
      </c>
      <c r="BC22" s="106"/>
      <c r="BD22" s="105" t="s">
        <v>28</v>
      </c>
      <c r="BE22" s="106"/>
      <c r="BF22" s="105" t="s">
        <v>29</v>
      </c>
      <c r="BG22" s="106"/>
      <c r="BH22" s="105" t="s">
        <v>30</v>
      </c>
      <c r="BI22" s="106"/>
      <c r="BJ22" s="105" t="s">
        <v>31</v>
      </c>
      <c r="BK22" s="106"/>
      <c r="BL22" s="105" t="s">
        <v>32</v>
      </c>
      <c r="BM22" s="106"/>
      <c r="BN22" s="109" t="s">
        <v>33</v>
      </c>
      <c r="BO22" s="110"/>
      <c r="BP22" s="105" t="s">
        <v>34</v>
      </c>
      <c r="BQ22" s="106"/>
      <c r="BR22" s="107" t="s">
        <v>35</v>
      </c>
      <c r="BS22" s="108"/>
    </row>
    <row r="23" spans="1:71" ht="30" x14ac:dyDescent="0.25">
      <c r="A23" s="1"/>
      <c r="B23" s="76" t="s">
        <v>295</v>
      </c>
      <c r="C23" s="77" t="s">
        <v>296</v>
      </c>
      <c r="D23" s="76" t="s">
        <v>295</v>
      </c>
      <c r="E23" s="77" t="s">
        <v>296</v>
      </c>
      <c r="F23" s="76" t="s">
        <v>295</v>
      </c>
      <c r="G23" s="77" t="s">
        <v>296</v>
      </c>
      <c r="H23" s="76" t="s">
        <v>295</v>
      </c>
      <c r="I23" s="77" t="s">
        <v>296</v>
      </c>
      <c r="J23" s="76" t="s">
        <v>295</v>
      </c>
      <c r="K23" s="77" t="s">
        <v>296</v>
      </c>
      <c r="L23" s="76" t="s">
        <v>295</v>
      </c>
      <c r="M23" s="77" t="s">
        <v>296</v>
      </c>
      <c r="N23" s="76" t="s">
        <v>295</v>
      </c>
      <c r="O23" s="77" t="s">
        <v>296</v>
      </c>
      <c r="P23" s="76" t="s">
        <v>295</v>
      </c>
      <c r="Q23" s="77" t="s">
        <v>296</v>
      </c>
      <c r="R23" s="76" t="s">
        <v>295</v>
      </c>
      <c r="S23" s="77" t="s">
        <v>296</v>
      </c>
      <c r="T23" s="76" t="s">
        <v>295</v>
      </c>
      <c r="U23" s="77" t="s">
        <v>296</v>
      </c>
      <c r="V23" s="76" t="s">
        <v>295</v>
      </c>
      <c r="W23" s="77" t="s">
        <v>296</v>
      </c>
      <c r="X23" s="76" t="s">
        <v>295</v>
      </c>
      <c r="Y23" s="77" t="s">
        <v>296</v>
      </c>
      <c r="Z23" s="76" t="s">
        <v>295</v>
      </c>
      <c r="AA23" s="77" t="s">
        <v>296</v>
      </c>
      <c r="AB23" s="76" t="s">
        <v>295</v>
      </c>
      <c r="AC23" s="77" t="s">
        <v>296</v>
      </c>
      <c r="AD23" s="76" t="s">
        <v>295</v>
      </c>
      <c r="AE23" s="77" t="s">
        <v>296</v>
      </c>
      <c r="AF23" s="76" t="s">
        <v>295</v>
      </c>
      <c r="AG23" s="77" t="s">
        <v>296</v>
      </c>
      <c r="AH23" s="76" t="s">
        <v>295</v>
      </c>
      <c r="AI23" s="77" t="s">
        <v>296</v>
      </c>
      <c r="AJ23" s="76" t="s">
        <v>295</v>
      </c>
      <c r="AK23" s="77" t="s">
        <v>296</v>
      </c>
      <c r="AL23" s="76" t="s">
        <v>295</v>
      </c>
      <c r="AM23" s="77" t="s">
        <v>296</v>
      </c>
      <c r="AN23" s="76" t="s">
        <v>295</v>
      </c>
      <c r="AO23" s="77" t="s">
        <v>296</v>
      </c>
      <c r="AP23" s="76" t="s">
        <v>295</v>
      </c>
      <c r="AQ23" s="77" t="s">
        <v>296</v>
      </c>
      <c r="AR23" s="76" t="s">
        <v>295</v>
      </c>
      <c r="AS23" s="77" t="s">
        <v>296</v>
      </c>
      <c r="AT23" s="76" t="s">
        <v>295</v>
      </c>
      <c r="AU23" s="77" t="s">
        <v>296</v>
      </c>
      <c r="AV23" s="76" t="s">
        <v>295</v>
      </c>
      <c r="AW23" s="77" t="s">
        <v>296</v>
      </c>
      <c r="AX23" s="76" t="s">
        <v>295</v>
      </c>
      <c r="AY23" s="77" t="s">
        <v>296</v>
      </c>
      <c r="AZ23" s="76" t="s">
        <v>295</v>
      </c>
      <c r="BA23" s="77" t="s">
        <v>296</v>
      </c>
      <c r="BB23" s="76" t="s">
        <v>295</v>
      </c>
      <c r="BC23" s="77" t="s">
        <v>296</v>
      </c>
      <c r="BD23" s="76" t="s">
        <v>295</v>
      </c>
      <c r="BE23" s="77" t="s">
        <v>296</v>
      </c>
      <c r="BF23" s="76" t="s">
        <v>295</v>
      </c>
      <c r="BG23" s="77" t="s">
        <v>296</v>
      </c>
      <c r="BH23" s="76" t="s">
        <v>295</v>
      </c>
      <c r="BI23" s="77" t="s">
        <v>296</v>
      </c>
      <c r="BJ23" s="76" t="s">
        <v>295</v>
      </c>
      <c r="BK23" s="77" t="s">
        <v>296</v>
      </c>
      <c r="BL23" s="76" t="s">
        <v>295</v>
      </c>
      <c r="BM23" s="77" t="s">
        <v>296</v>
      </c>
      <c r="BN23" s="76" t="s">
        <v>295</v>
      </c>
      <c r="BO23" s="77" t="s">
        <v>296</v>
      </c>
      <c r="BP23" s="76" t="s">
        <v>295</v>
      </c>
      <c r="BQ23" s="77" t="s">
        <v>296</v>
      </c>
      <c r="BR23" s="95" t="s">
        <v>295</v>
      </c>
      <c r="BS23" s="96" t="s">
        <v>296</v>
      </c>
    </row>
    <row r="24" spans="1:71" x14ac:dyDescent="0.25">
      <c r="A24" s="11" t="s">
        <v>285</v>
      </c>
      <c r="B24" s="11">
        <v>613407</v>
      </c>
      <c r="C24" s="11">
        <v>1008519</v>
      </c>
      <c r="D24" s="11"/>
      <c r="E24" s="11"/>
      <c r="F24" s="11"/>
      <c r="G24" s="11"/>
      <c r="H24" s="11"/>
      <c r="I24" s="11"/>
      <c r="J24" s="11">
        <v>13704455</v>
      </c>
      <c r="K24" s="11">
        <v>25705809</v>
      </c>
      <c r="L24" s="11">
        <v>3442420</v>
      </c>
      <c r="M24" s="11">
        <v>6684477</v>
      </c>
      <c r="N24" s="11">
        <v>8034553</v>
      </c>
      <c r="O24" s="11">
        <v>16106044</v>
      </c>
      <c r="P24" s="11"/>
      <c r="Q24" s="11"/>
      <c r="R24" s="11">
        <v>437016</v>
      </c>
      <c r="S24" s="11">
        <v>714865</v>
      </c>
      <c r="T24" s="11">
        <v>108573</v>
      </c>
      <c r="U24" s="11">
        <v>137658</v>
      </c>
      <c r="V24" s="11"/>
      <c r="W24" s="11"/>
      <c r="X24" s="11">
        <f>1877055+1226305</f>
        <v>3103360</v>
      </c>
      <c r="Y24" s="11">
        <f>3635782+2455958</f>
        <v>6091740</v>
      </c>
      <c r="Z24" s="11">
        <v>4826276</v>
      </c>
      <c r="AA24" s="11">
        <v>8410342</v>
      </c>
      <c r="AB24" s="11">
        <f>4311602+3822987</f>
        <v>8134589</v>
      </c>
      <c r="AC24" s="11">
        <f>7581794+7682188</f>
        <v>15263982</v>
      </c>
      <c r="AD24" s="11">
        <v>14666866</v>
      </c>
      <c r="AE24" s="11">
        <v>29445295</v>
      </c>
      <c r="AF24" s="11">
        <v>8529786</v>
      </c>
      <c r="AG24" s="11">
        <v>16865322</v>
      </c>
      <c r="AH24" s="11">
        <v>576390</v>
      </c>
      <c r="AI24" s="11">
        <v>1060387</v>
      </c>
      <c r="AJ24" s="11">
        <f>1325210+1068854</f>
        <v>2394064</v>
      </c>
      <c r="AK24" s="11">
        <f>2567936+1914529</f>
        <v>4482465</v>
      </c>
      <c r="AL24" s="11">
        <v>2523272</v>
      </c>
      <c r="AM24" s="11">
        <v>4735511</v>
      </c>
      <c r="AN24" s="11"/>
      <c r="AO24" s="11"/>
      <c r="AP24" s="11">
        <v>14397318.35886788</v>
      </c>
      <c r="AQ24" s="11">
        <v>28409319.139292195</v>
      </c>
      <c r="AR24" s="11">
        <v>25953654</v>
      </c>
      <c r="AS24" s="11">
        <v>49847710</v>
      </c>
      <c r="AT24" s="11">
        <v>10656496</v>
      </c>
      <c r="AU24" s="11">
        <v>20731570</v>
      </c>
      <c r="AV24" s="11">
        <f>708+214051</f>
        <v>214759</v>
      </c>
      <c r="AW24" s="11">
        <f>1308+320071</f>
        <v>321379</v>
      </c>
      <c r="AX24" s="11">
        <v>8250173</v>
      </c>
      <c r="AY24" s="11">
        <v>16756757</v>
      </c>
      <c r="AZ24" s="11"/>
      <c r="BA24" s="11"/>
      <c r="BB24" s="11"/>
      <c r="BC24" s="11"/>
      <c r="BD24" s="11">
        <v>5245520</v>
      </c>
      <c r="BE24" s="11">
        <v>9886144</v>
      </c>
      <c r="BF24" s="11">
        <v>2655398</v>
      </c>
      <c r="BG24" s="11">
        <v>4782651</v>
      </c>
      <c r="BH24" s="11">
        <v>6113632</v>
      </c>
      <c r="BI24" s="11">
        <v>11362670</v>
      </c>
      <c r="BJ24" s="11"/>
      <c r="BK24" s="11"/>
      <c r="BL24" s="11">
        <v>10224104</v>
      </c>
      <c r="BM24" s="11">
        <v>19782533</v>
      </c>
      <c r="BN24" s="11">
        <v>16510239</v>
      </c>
      <c r="BO24" s="11">
        <v>32402176</v>
      </c>
      <c r="BP24" s="11">
        <f>862237+816984</f>
        <v>1679221</v>
      </c>
      <c r="BQ24" s="11">
        <f>1598703+1592122</f>
        <v>3190825</v>
      </c>
      <c r="BR24" s="99">
        <f>SUM(B24+D24+F24+H24+J24+L24+N24+P24+R24+T24+V24+X24+Z24+AB24+AD24+AF24+AH24+AJ24+AL24+AN24+AP24+AR24+AT24+AV24+AX24+AZ24+BB24+BD24+BF24+BH24+BJ24+BL24+BN24+BP24)</f>
        <v>172995541.35886788</v>
      </c>
      <c r="BS24" s="99">
        <f>SUM(C24+E24+G24+I24+K24+M24+O24+Q24+S24+U24+W24+Y24+AA24+AC24+AE24+AG24+AI24+AK24+AM24+AO24+AQ24+AS24+AU24+AW24+AY24+BA24+BC24+BE24+BG24+BI24+BK24+BM24+BO24+BQ24)</f>
        <v>334186150.13929218</v>
      </c>
    </row>
    <row r="25" spans="1:71" x14ac:dyDescent="0.25">
      <c r="A25" s="11" t="s">
        <v>288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>
        <v>1864</v>
      </c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>
        <v>-143.42012999999997</v>
      </c>
      <c r="AQ25" s="11">
        <v>755.75187000000005</v>
      </c>
      <c r="AR25" s="11">
        <v>34454</v>
      </c>
      <c r="AS25" s="11">
        <v>58505</v>
      </c>
      <c r="AT25" s="11">
        <v>551</v>
      </c>
      <c r="AU25" s="11">
        <v>1724</v>
      </c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99">
        <f t="shared" ref="BR25:BR28" si="4">SUM(B25+D25+F25+H25+J25+L25+N25+P25+R25+T25+V25+X25+Z25+AB25+AD25+AF25+AH25+AJ25+AL25+AN25+AP25+AR25+AT25+AV25+AX25+AZ25+BB25+BD25+BF25+BH25+BJ25+BL25+BN25+BP25)</f>
        <v>34861.579870000001</v>
      </c>
      <c r="BS25" s="99">
        <f t="shared" ref="BS25:BS28" si="5">SUM(C25+E25+G25+I25+K25+M25+O25+Q25+S25+U25+W25+Y25+AA25+AC25+AE25+AG25+AI25+AK25+AM25+AO25+AQ25+AS25+AU25+AW25+AY25+BA25+BC25+BE25+BG25+BI25+BK25+BM25+BO25+BQ25)</f>
        <v>62848.75187</v>
      </c>
    </row>
    <row r="26" spans="1:71" x14ac:dyDescent="0.25">
      <c r="A26" s="11" t="s">
        <v>289</v>
      </c>
      <c r="B26" s="11">
        <v>400497</v>
      </c>
      <c r="C26" s="11">
        <v>659642</v>
      </c>
      <c r="D26" s="11"/>
      <c r="E26" s="11"/>
      <c r="F26" s="11"/>
      <c r="G26" s="11"/>
      <c r="H26" s="11"/>
      <c r="I26" s="11"/>
      <c r="J26" s="11">
        <v>721408</v>
      </c>
      <c r="K26" s="11">
        <v>1349770</v>
      </c>
      <c r="L26" s="11">
        <v>285202</v>
      </c>
      <c r="M26" s="11">
        <v>548137</v>
      </c>
      <c r="N26" s="11">
        <v>1342669</v>
      </c>
      <c r="O26" s="11">
        <v>2740702</v>
      </c>
      <c r="P26" s="11"/>
      <c r="Q26" s="11"/>
      <c r="R26" s="11">
        <v>-71426</v>
      </c>
      <c r="S26" s="11">
        <v>-127511</v>
      </c>
      <c r="T26" s="11">
        <v>8554</v>
      </c>
      <c r="U26" s="11">
        <v>13134</v>
      </c>
      <c r="V26" s="11"/>
      <c r="W26" s="11"/>
      <c r="X26" s="11">
        <f>169348+88033</f>
        <v>257381</v>
      </c>
      <c r="Y26" s="11">
        <f>208261+160926</f>
        <v>369187</v>
      </c>
      <c r="Z26" s="11">
        <v>1983944</v>
      </c>
      <c r="AA26" s="11">
        <v>2211802</v>
      </c>
      <c r="AB26" s="11">
        <f>-1345145-779516</f>
        <v>-2124661</v>
      </c>
      <c r="AC26" s="11">
        <f>-2361794-1560853</f>
        <v>-3922647</v>
      </c>
      <c r="AD26" s="11">
        <v>1547523</v>
      </c>
      <c r="AE26" s="11">
        <v>3054023</v>
      </c>
      <c r="AF26" s="11">
        <v>2916968</v>
      </c>
      <c r="AG26" s="11">
        <v>3349580</v>
      </c>
      <c r="AH26" s="11">
        <v>33287</v>
      </c>
      <c r="AI26" s="11">
        <v>61776</v>
      </c>
      <c r="AJ26" s="11">
        <f>66274+53431</f>
        <v>119705</v>
      </c>
      <c r="AK26" s="11">
        <f>159458+114310</f>
        <v>273768</v>
      </c>
      <c r="AL26" s="11">
        <v>-686211</v>
      </c>
      <c r="AM26" s="11">
        <v>-1349540</v>
      </c>
      <c r="AN26" s="11"/>
      <c r="AO26" s="11"/>
      <c r="AP26" s="11">
        <v>3606761.4459490655</v>
      </c>
      <c r="AQ26" s="11">
        <v>7122130.9109941702</v>
      </c>
      <c r="AR26" s="11">
        <v>1382639</v>
      </c>
      <c r="AS26" s="11">
        <v>2735812</v>
      </c>
      <c r="AT26" s="11">
        <v>538193</v>
      </c>
      <c r="AU26" s="11">
        <v>1067856</v>
      </c>
      <c r="AV26" s="11">
        <f>46+16086</f>
        <v>16132</v>
      </c>
      <c r="AW26" s="11">
        <f>85+24044</f>
        <v>24129</v>
      </c>
      <c r="AX26" s="11">
        <v>3234679</v>
      </c>
      <c r="AY26" s="11">
        <v>5457912</v>
      </c>
      <c r="AZ26" s="11"/>
      <c r="BA26" s="11"/>
      <c r="BB26" s="11"/>
      <c r="BC26" s="11"/>
      <c r="BD26" s="11">
        <v>-885754</v>
      </c>
      <c r="BE26" s="11">
        <v>-1691109</v>
      </c>
      <c r="BF26" s="11">
        <v>590733</v>
      </c>
      <c r="BG26" s="11">
        <v>1047447</v>
      </c>
      <c r="BH26" s="11">
        <v>312319</v>
      </c>
      <c r="BI26" s="11">
        <v>601168</v>
      </c>
      <c r="BJ26" s="11"/>
      <c r="BK26" s="11"/>
      <c r="BL26" s="11">
        <v>1854958</v>
      </c>
      <c r="BM26" s="11">
        <v>4031295</v>
      </c>
      <c r="BN26" s="11">
        <v>825512</v>
      </c>
      <c r="BO26" s="11">
        <v>1636341</v>
      </c>
      <c r="BP26" s="11">
        <f>61225+56885</f>
        <v>118110</v>
      </c>
      <c r="BQ26" s="11">
        <f>108956+103843</f>
        <v>212799</v>
      </c>
      <c r="BR26" s="99">
        <f t="shared" si="4"/>
        <v>18329122.445949066</v>
      </c>
      <c r="BS26" s="99">
        <f t="shared" si="5"/>
        <v>31477603.910994172</v>
      </c>
    </row>
    <row r="27" spans="1:71" x14ac:dyDescent="0.25">
      <c r="A27" s="11" t="s">
        <v>243</v>
      </c>
      <c r="B27" s="11">
        <v>212910</v>
      </c>
      <c r="C27" s="11">
        <v>348877</v>
      </c>
      <c r="D27" s="11"/>
      <c r="E27" s="11"/>
      <c r="F27" s="11"/>
      <c r="G27" s="11"/>
      <c r="H27" s="11"/>
      <c r="I27" s="11"/>
      <c r="J27" s="11">
        <v>12983047</v>
      </c>
      <c r="K27" s="11">
        <v>24356039</v>
      </c>
      <c r="L27" s="11">
        <v>3157218</v>
      </c>
      <c r="M27" s="11">
        <v>6136340</v>
      </c>
      <c r="N27" s="11">
        <v>6691884</v>
      </c>
      <c r="O27" s="11">
        <v>13365342</v>
      </c>
      <c r="P27" s="11"/>
      <c r="Q27" s="11"/>
      <c r="R27" s="11">
        <v>365590</v>
      </c>
      <c r="S27" s="11">
        <v>587354</v>
      </c>
      <c r="T27" s="11">
        <v>100019</v>
      </c>
      <c r="U27" s="11">
        <v>124524</v>
      </c>
      <c r="V27" s="11"/>
      <c r="W27" s="11"/>
      <c r="X27" s="11">
        <f>1707707+1138272</f>
        <v>2845979</v>
      </c>
      <c r="Y27" s="11">
        <f>3427522+2295033</f>
        <v>5722555</v>
      </c>
      <c r="Z27" s="11">
        <v>2842331</v>
      </c>
      <c r="AA27" s="11">
        <v>6198540</v>
      </c>
      <c r="AB27" s="11">
        <f>2966456+3043471</f>
        <v>6009927</v>
      </c>
      <c r="AC27" s="11">
        <f>5220001+6121335</f>
        <v>11341336</v>
      </c>
      <c r="AD27" s="11">
        <v>13119343</v>
      </c>
      <c r="AE27" s="11">
        <v>26393136</v>
      </c>
      <c r="AF27" s="11">
        <v>5612818</v>
      </c>
      <c r="AG27" s="11">
        <v>13515742</v>
      </c>
      <c r="AH27" s="11">
        <v>543103</v>
      </c>
      <c r="AI27" s="11">
        <v>998611</v>
      </c>
      <c r="AJ27" s="11">
        <f>1258936+1015423</f>
        <v>2274359</v>
      </c>
      <c r="AK27" s="11">
        <f>2408478+1800219</f>
        <v>4208697</v>
      </c>
      <c r="AL27" s="11">
        <v>1837061</v>
      </c>
      <c r="AM27" s="11">
        <v>3385971</v>
      </c>
      <c r="AN27" s="11"/>
      <c r="AO27" s="11"/>
      <c r="AP27" s="11">
        <v>10790413.492788814</v>
      </c>
      <c r="AQ27" s="11">
        <v>21287943.980168022</v>
      </c>
      <c r="AR27" s="11">
        <v>24605468</v>
      </c>
      <c r="AS27" s="11">
        <v>47170404</v>
      </c>
      <c r="AT27" s="11">
        <v>10118854</v>
      </c>
      <c r="AU27" s="11">
        <v>19665438</v>
      </c>
      <c r="AV27" s="11">
        <f>662+197966</f>
        <v>198628</v>
      </c>
      <c r="AW27" s="11">
        <f>1223+296027</f>
        <v>297250</v>
      </c>
      <c r="AX27" s="11">
        <v>5015494</v>
      </c>
      <c r="AY27" s="11">
        <v>11298845</v>
      </c>
      <c r="AZ27" s="11"/>
      <c r="BA27" s="11"/>
      <c r="BB27" s="11"/>
      <c r="BC27" s="11"/>
      <c r="BD27" s="11">
        <v>4359766</v>
      </c>
      <c r="BE27" s="11">
        <v>8195035</v>
      </c>
      <c r="BF27" s="11">
        <v>2064665</v>
      </c>
      <c r="BG27" s="11">
        <v>3735204</v>
      </c>
      <c r="BH27" s="11">
        <v>5801313</v>
      </c>
      <c r="BI27" s="11">
        <v>10761502</v>
      </c>
      <c r="BJ27" s="11"/>
      <c r="BK27" s="11"/>
      <c r="BL27" s="11">
        <v>8369146</v>
      </c>
      <c r="BM27" s="11">
        <v>15751238</v>
      </c>
      <c r="BN27" s="11">
        <v>15684727</v>
      </c>
      <c r="BO27" s="11">
        <v>30765835</v>
      </c>
      <c r="BP27" s="11">
        <f>801012+760099</f>
        <v>1561111</v>
      </c>
      <c r="BQ27" s="11">
        <f>1489747+1488279</f>
        <v>2978026</v>
      </c>
      <c r="BR27" s="99">
        <f t="shared" si="4"/>
        <v>147165174.49278882</v>
      </c>
      <c r="BS27" s="99">
        <f t="shared" si="5"/>
        <v>288589784.98016798</v>
      </c>
    </row>
    <row r="28" spans="1:71" x14ac:dyDescent="0.25">
      <c r="A28" s="11" t="s">
        <v>244</v>
      </c>
      <c r="B28" s="11">
        <v>184803</v>
      </c>
      <c r="C28" s="11">
        <v>337490</v>
      </c>
      <c r="D28" s="11"/>
      <c r="E28" s="11"/>
      <c r="F28" s="11"/>
      <c r="G28" s="11"/>
      <c r="H28" s="11"/>
      <c r="I28" s="11"/>
      <c r="J28" s="11">
        <v>12078947</v>
      </c>
      <c r="K28" s="11">
        <v>23727464</v>
      </c>
      <c r="L28" s="11">
        <v>2978102</v>
      </c>
      <c r="M28" s="11">
        <v>5773621</v>
      </c>
      <c r="N28" s="11">
        <v>6973270</v>
      </c>
      <c r="O28" s="11">
        <v>13626017</v>
      </c>
      <c r="P28" s="11"/>
      <c r="Q28" s="11"/>
      <c r="R28" s="11">
        <v>178729</v>
      </c>
      <c r="S28" s="11">
        <v>286224</v>
      </c>
      <c r="T28" s="11">
        <v>78667</v>
      </c>
      <c r="U28" s="11">
        <v>142923</v>
      </c>
      <c r="V28" s="11"/>
      <c r="W28" s="11"/>
      <c r="X28" s="11">
        <f>1613665+1182317</f>
        <v>2795982</v>
      </c>
      <c r="Y28" s="11">
        <f>3165899+2353627</f>
        <v>5519526</v>
      </c>
      <c r="Z28" s="11">
        <v>2552570</v>
      </c>
      <c r="AA28" s="11">
        <v>4814660</v>
      </c>
      <c r="AB28" s="11">
        <f>2808587+3181062</f>
        <v>5989649</v>
      </c>
      <c r="AC28" s="11">
        <f>5494248+6265911</f>
        <v>11760159</v>
      </c>
      <c r="AD28" s="11">
        <v>15195505</v>
      </c>
      <c r="AE28" s="11">
        <v>30051871</v>
      </c>
      <c r="AF28" s="11">
        <v>6991878</v>
      </c>
      <c r="AG28" s="11">
        <v>14137611</v>
      </c>
      <c r="AH28" s="11">
        <v>498464</v>
      </c>
      <c r="AI28" s="11">
        <v>971858</v>
      </c>
      <c r="AJ28" s="11">
        <f>1155506+846496</f>
        <v>2002002</v>
      </c>
      <c r="AK28" s="11">
        <f>2234203+1619643</f>
        <v>3853846</v>
      </c>
      <c r="AL28" s="11">
        <v>1584777</v>
      </c>
      <c r="AM28" s="11">
        <v>3072141</v>
      </c>
      <c r="AN28" s="11"/>
      <c r="AO28" s="11"/>
      <c r="AP28" s="11">
        <v>10704619.546788814</v>
      </c>
      <c r="AQ28" s="11">
        <v>21751804.646168023</v>
      </c>
      <c r="AR28" s="11">
        <v>24564682</v>
      </c>
      <c r="AS28" s="11">
        <v>48632319</v>
      </c>
      <c r="AT28" s="11">
        <v>10203659</v>
      </c>
      <c r="AU28" s="11">
        <v>20279104</v>
      </c>
      <c r="AV28" s="11">
        <f>564+173591</f>
        <v>174155</v>
      </c>
      <c r="AW28" s="11">
        <f>1205+345852</f>
        <v>347057</v>
      </c>
      <c r="AX28" s="11">
        <v>5443519</v>
      </c>
      <c r="AY28" s="11">
        <v>11002421</v>
      </c>
      <c r="AZ28" s="11"/>
      <c r="BA28" s="11"/>
      <c r="BB28" s="11"/>
      <c r="BC28" s="11"/>
      <c r="BD28" s="11">
        <v>4150293</v>
      </c>
      <c r="BE28" s="11">
        <v>8338755</v>
      </c>
      <c r="BF28" s="11">
        <v>1953837</v>
      </c>
      <c r="BG28" s="11">
        <v>3996196</v>
      </c>
      <c r="BH28" s="11">
        <v>5529037</v>
      </c>
      <c r="BI28" s="11">
        <v>10878871</v>
      </c>
      <c r="BJ28" s="11"/>
      <c r="BK28" s="11"/>
      <c r="BL28" s="11">
        <v>8040526</v>
      </c>
      <c r="BM28" s="11">
        <v>15728176</v>
      </c>
      <c r="BN28" s="11">
        <v>15253093</v>
      </c>
      <c r="BO28" s="11">
        <v>30472319</v>
      </c>
      <c r="BP28" s="11">
        <f>1007988+993743</f>
        <v>2001731</v>
      </c>
      <c r="BQ28" s="11">
        <f>1866079+1663976</f>
        <v>3530055</v>
      </c>
      <c r="BR28" s="99">
        <f t="shared" si="4"/>
        <v>148102496.54678881</v>
      </c>
      <c r="BS28" s="99">
        <f t="shared" si="5"/>
        <v>293032488.64616799</v>
      </c>
    </row>
    <row r="30" spans="1:71" x14ac:dyDescent="0.25">
      <c r="A30" s="31" t="s">
        <v>233</v>
      </c>
    </row>
    <row r="31" spans="1:71" x14ac:dyDescent="0.25">
      <c r="A31" s="1" t="s">
        <v>0</v>
      </c>
      <c r="B31" s="105" t="s">
        <v>1</v>
      </c>
      <c r="C31" s="106"/>
      <c r="D31" s="105" t="s">
        <v>2</v>
      </c>
      <c r="E31" s="106"/>
      <c r="F31" s="105" t="s">
        <v>3</v>
      </c>
      <c r="G31" s="106"/>
      <c r="H31" s="105" t="s">
        <v>4</v>
      </c>
      <c r="I31" s="106"/>
      <c r="J31" s="105" t="s">
        <v>5</v>
      </c>
      <c r="K31" s="106"/>
      <c r="L31" s="105" t="s">
        <v>6</v>
      </c>
      <c r="M31" s="106"/>
      <c r="N31" s="105" t="s">
        <v>7</v>
      </c>
      <c r="O31" s="106"/>
      <c r="P31" s="105" t="s">
        <v>8</v>
      </c>
      <c r="Q31" s="106"/>
      <c r="R31" s="105" t="s">
        <v>9</v>
      </c>
      <c r="S31" s="106"/>
      <c r="T31" s="105" t="s">
        <v>10</v>
      </c>
      <c r="U31" s="106"/>
      <c r="V31" s="105" t="s">
        <v>11</v>
      </c>
      <c r="W31" s="106"/>
      <c r="X31" s="105" t="s">
        <v>12</v>
      </c>
      <c r="Y31" s="106"/>
      <c r="Z31" s="105" t="s">
        <v>13</v>
      </c>
      <c r="AA31" s="106"/>
      <c r="AB31" s="105" t="s">
        <v>14</v>
      </c>
      <c r="AC31" s="106"/>
      <c r="AD31" s="105" t="s">
        <v>15</v>
      </c>
      <c r="AE31" s="106"/>
      <c r="AF31" s="105" t="s">
        <v>16</v>
      </c>
      <c r="AG31" s="106"/>
      <c r="AH31" s="105" t="s">
        <v>17</v>
      </c>
      <c r="AI31" s="106"/>
      <c r="AJ31" s="105" t="s">
        <v>18</v>
      </c>
      <c r="AK31" s="106"/>
      <c r="AL31" s="105" t="s">
        <v>19</v>
      </c>
      <c r="AM31" s="106"/>
      <c r="AN31" s="105" t="s">
        <v>20</v>
      </c>
      <c r="AO31" s="106"/>
      <c r="AP31" s="105" t="s">
        <v>21</v>
      </c>
      <c r="AQ31" s="106"/>
      <c r="AR31" s="105" t="s">
        <v>22</v>
      </c>
      <c r="AS31" s="106"/>
      <c r="AT31" s="105" t="s">
        <v>23</v>
      </c>
      <c r="AU31" s="106"/>
      <c r="AV31" s="105" t="s">
        <v>24</v>
      </c>
      <c r="AW31" s="106"/>
      <c r="AX31" s="105" t="s">
        <v>25</v>
      </c>
      <c r="AY31" s="106"/>
      <c r="AZ31" s="105" t="s">
        <v>26</v>
      </c>
      <c r="BA31" s="106"/>
      <c r="BB31" s="105" t="s">
        <v>27</v>
      </c>
      <c r="BC31" s="106"/>
      <c r="BD31" s="105" t="s">
        <v>28</v>
      </c>
      <c r="BE31" s="106"/>
      <c r="BF31" s="105" t="s">
        <v>29</v>
      </c>
      <c r="BG31" s="106"/>
      <c r="BH31" s="105" t="s">
        <v>30</v>
      </c>
      <c r="BI31" s="106"/>
      <c r="BJ31" s="105" t="s">
        <v>31</v>
      </c>
      <c r="BK31" s="106"/>
      <c r="BL31" s="105" t="s">
        <v>32</v>
      </c>
      <c r="BM31" s="106"/>
      <c r="BN31" s="109" t="s">
        <v>33</v>
      </c>
      <c r="BO31" s="110"/>
      <c r="BP31" s="105" t="s">
        <v>34</v>
      </c>
      <c r="BQ31" s="106"/>
      <c r="BR31" s="107" t="s">
        <v>35</v>
      </c>
      <c r="BS31" s="108"/>
    </row>
    <row r="32" spans="1:71" ht="30" x14ac:dyDescent="0.25">
      <c r="A32" s="1"/>
      <c r="B32" s="76" t="s">
        <v>295</v>
      </c>
      <c r="C32" s="77" t="s">
        <v>296</v>
      </c>
      <c r="D32" s="76" t="s">
        <v>295</v>
      </c>
      <c r="E32" s="77" t="s">
        <v>296</v>
      </c>
      <c r="F32" s="76" t="s">
        <v>295</v>
      </c>
      <c r="G32" s="77" t="s">
        <v>296</v>
      </c>
      <c r="H32" s="76" t="s">
        <v>295</v>
      </c>
      <c r="I32" s="77" t="s">
        <v>296</v>
      </c>
      <c r="J32" s="76" t="s">
        <v>295</v>
      </c>
      <c r="K32" s="77" t="s">
        <v>296</v>
      </c>
      <c r="L32" s="76" t="s">
        <v>295</v>
      </c>
      <c r="M32" s="77" t="s">
        <v>296</v>
      </c>
      <c r="N32" s="76" t="s">
        <v>295</v>
      </c>
      <c r="O32" s="77" t="s">
        <v>296</v>
      </c>
      <c r="P32" s="76" t="s">
        <v>295</v>
      </c>
      <c r="Q32" s="77" t="s">
        <v>296</v>
      </c>
      <c r="R32" s="76" t="s">
        <v>295</v>
      </c>
      <c r="S32" s="77" t="s">
        <v>296</v>
      </c>
      <c r="T32" s="76" t="s">
        <v>295</v>
      </c>
      <c r="U32" s="77" t="s">
        <v>296</v>
      </c>
      <c r="V32" s="76" t="s">
        <v>295</v>
      </c>
      <c r="W32" s="77" t="s">
        <v>296</v>
      </c>
      <c r="X32" s="76" t="s">
        <v>295</v>
      </c>
      <c r="Y32" s="77" t="s">
        <v>296</v>
      </c>
      <c r="Z32" s="76" t="s">
        <v>295</v>
      </c>
      <c r="AA32" s="77" t="s">
        <v>296</v>
      </c>
      <c r="AB32" s="76" t="s">
        <v>295</v>
      </c>
      <c r="AC32" s="77" t="s">
        <v>296</v>
      </c>
      <c r="AD32" s="76" t="s">
        <v>295</v>
      </c>
      <c r="AE32" s="77" t="s">
        <v>296</v>
      </c>
      <c r="AF32" s="76" t="s">
        <v>295</v>
      </c>
      <c r="AG32" s="77" t="s">
        <v>296</v>
      </c>
      <c r="AH32" s="76" t="s">
        <v>295</v>
      </c>
      <c r="AI32" s="77" t="s">
        <v>296</v>
      </c>
      <c r="AJ32" s="76" t="s">
        <v>295</v>
      </c>
      <c r="AK32" s="77" t="s">
        <v>296</v>
      </c>
      <c r="AL32" s="76" t="s">
        <v>295</v>
      </c>
      <c r="AM32" s="77" t="s">
        <v>296</v>
      </c>
      <c r="AN32" s="76" t="s">
        <v>295</v>
      </c>
      <c r="AO32" s="77" t="s">
        <v>296</v>
      </c>
      <c r="AP32" s="76" t="s">
        <v>295</v>
      </c>
      <c r="AQ32" s="77" t="s">
        <v>296</v>
      </c>
      <c r="AR32" s="76" t="s">
        <v>295</v>
      </c>
      <c r="AS32" s="77" t="s">
        <v>296</v>
      </c>
      <c r="AT32" s="76" t="s">
        <v>295</v>
      </c>
      <c r="AU32" s="77" t="s">
        <v>296</v>
      </c>
      <c r="AV32" s="76" t="s">
        <v>295</v>
      </c>
      <c r="AW32" s="77" t="s">
        <v>296</v>
      </c>
      <c r="AX32" s="76" t="s">
        <v>295</v>
      </c>
      <c r="AY32" s="77" t="s">
        <v>296</v>
      </c>
      <c r="AZ32" s="76" t="s">
        <v>295</v>
      </c>
      <c r="BA32" s="77" t="s">
        <v>296</v>
      </c>
      <c r="BB32" s="76" t="s">
        <v>295</v>
      </c>
      <c r="BC32" s="77" t="s">
        <v>296</v>
      </c>
      <c r="BD32" s="76" t="s">
        <v>295</v>
      </c>
      <c r="BE32" s="77" t="s">
        <v>296</v>
      </c>
      <c r="BF32" s="76" t="s">
        <v>295</v>
      </c>
      <c r="BG32" s="77" t="s">
        <v>296</v>
      </c>
      <c r="BH32" s="76" t="s">
        <v>295</v>
      </c>
      <c r="BI32" s="77" t="s">
        <v>296</v>
      </c>
      <c r="BJ32" s="76" t="s">
        <v>295</v>
      </c>
      <c r="BK32" s="77" t="s">
        <v>296</v>
      </c>
      <c r="BL32" s="76" t="s">
        <v>295</v>
      </c>
      <c r="BM32" s="77" t="s">
        <v>296</v>
      </c>
      <c r="BN32" s="76" t="s">
        <v>295</v>
      </c>
      <c r="BO32" s="77" t="s">
        <v>296</v>
      </c>
      <c r="BP32" s="76" t="s">
        <v>295</v>
      </c>
      <c r="BQ32" s="77" t="s">
        <v>296</v>
      </c>
      <c r="BR32" s="95" t="s">
        <v>295</v>
      </c>
      <c r="BS32" s="96" t="s">
        <v>296</v>
      </c>
    </row>
    <row r="33" spans="1:71" x14ac:dyDescent="0.25">
      <c r="A33" s="11" t="s">
        <v>285</v>
      </c>
      <c r="B33" s="11"/>
      <c r="C33" s="11"/>
      <c r="D33" s="11"/>
      <c r="E33" s="11"/>
      <c r="F33" s="11"/>
      <c r="G33" s="11"/>
      <c r="H33" s="11"/>
      <c r="I33" s="11"/>
      <c r="J33" s="11">
        <v>440403</v>
      </c>
      <c r="K33" s="11">
        <v>804580</v>
      </c>
      <c r="L33" s="11">
        <v>88499</v>
      </c>
      <c r="M33" s="11">
        <v>190330</v>
      </c>
      <c r="N33" s="11">
        <v>70175</v>
      </c>
      <c r="O33" s="11">
        <v>150640</v>
      </c>
      <c r="P33" s="11"/>
      <c r="Q33" s="11"/>
      <c r="R33" s="11"/>
      <c r="S33" s="11"/>
      <c r="T33" s="11"/>
      <c r="U33" s="11"/>
      <c r="V33" s="11"/>
      <c r="W33" s="11"/>
      <c r="X33" s="11">
        <v>129574</v>
      </c>
      <c r="Y33" s="11">
        <v>264777</v>
      </c>
      <c r="Z33" s="11">
        <v>5826</v>
      </c>
      <c r="AA33" s="11">
        <v>17228</v>
      </c>
      <c r="AB33" s="11">
        <v>353180</v>
      </c>
      <c r="AC33" s="11">
        <v>844246</v>
      </c>
      <c r="AD33" s="11">
        <v>667877</v>
      </c>
      <c r="AE33" s="11">
        <v>1594303</v>
      </c>
      <c r="AF33" s="11">
        <v>199822</v>
      </c>
      <c r="AG33" s="11">
        <v>458513</v>
      </c>
      <c r="AH33" s="11">
        <v>1240</v>
      </c>
      <c r="AI33" s="11">
        <v>10044</v>
      </c>
      <c r="AJ33" s="11">
        <v>66697</v>
      </c>
      <c r="AK33" s="11">
        <v>146172</v>
      </c>
      <c r="AL33" s="11">
        <v>13191</v>
      </c>
      <c r="AM33" s="11">
        <v>20748</v>
      </c>
      <c r="AN33" s="11"/>
      <c r="AO33" s="11"/>
      <c r="AP33" s="11">
        <v>547072.04809678695</v>
      </c>
      <c r="AQ33" s="11">
        <v>1270998.659482419</v>
      </c>
      <c r="AR33" s="11">
        <v>1547448</v>
      </c>
      <c r="AS33" s="11">
        <v>2935118</v>
      </c>
      <c r="AT33" s="11">
        <v>552140</v>
      </c>
      <c r="AU33" s="11">
        <v>1261927</v>
      </c>
      <c r="AV33" s="11">
        <v>1785</v>
      </c>
      <c r="AW33" s="11">
        <v>3544</v>
      </c>
      <c r="AX33" s="11">
        <v>231349</v>
      </c>
      <c r="AY33" s="11">
        <v>586426</v>
      </c>
      <c r="AZ33" s="11"/>
      <c r="BA33" s="11"/>
      <c r="BB33" s="11"/>
      <c r="BC33" s="11"/>
      <c r="BD33" s="11">
        <v>171995</v>
      </c>
      <c r="BE33" s="11">
        <v>359949</v>
      </c>
      <c r="BF33" s="11">
        <v>83789</v>
      </c>
      <c r="BG33" s="11">
        <v>170961</v>
      </c>
      <c r="BH33" s="11">
        <v>47464</v>
      </c>
      <c r="BI33" s="11">
        <v>89350</v>
      </c>
      <c r="BJ33" s="11"/>
      <c r="BK33" s="11"/>
      <c r="BL33" s="11">
        <v>153246</v>
      </c>
      <c r="BM33" s="11">
        <v>287148</v>
      </c>
      <c r="BN33" s="11">
        <v>1132805</v>
      </c>
      <c r="BO33" s="11">
        <v>2018994</v>
      </c>
      <c r="BP33" s="11">
        <v>17559</v>
      </c>
      <c r="BQ33" s="11">
        <v>45175</v>
      </c>
      <c r="BR33" s="99">
        <f t="shared" ref="BR33:BR37" si="6">SUM(B33+D33+F33+H33+J33+L33+N33+P33+R33+T33+V33+X33+Z33+AB33+AD33+AF33+AH33+AJ33+AL33+AN33+AP33+AR33+AT33+AV33+AX33+AZ33+BB33+BD33+BF33+BH33+BJ33+BL33+BN33+BP33)</f>
        <v>6523136.0480967872</v>
      </c>
      <c r="BS33" s="99">
        <f t="shared" ref="BS33:BS37" si="7">SUM(C33+E33+G33+I33+K33+M33+O33+Q33+S33+U33+W33+Y33+AA33+AC33+AE33+AG33+AI33+AK33+AM33+AO33+AQ33+AS33+AU33+AW33+AY33+BA33+BC33+BE33+BG33+BI33+BK33+BM33+BO33+BQ33)</f>
        <v>13531171.659482419</v>
      </c>
    </row>
    <row r="34" spans="1:71" x14ac:dyDescent="0.25">
      <c r="A34" s="11" t="s">
        <v>288</v>
      </c>
      <c r="B34" s="11"/>
      <c r="C34" s="11"/>
      <c r="D34" s="11"/>
      <c r="E34" s="11"/>
      <c r="F34" s="11"/>
      <c r="G34" s="11"/>
      <c r="H34" s="11"/>
      <c r="I34" s="11"/>
      <c r="J34" s="11">
        <v>14336</v>
      </c>
      <c r="K34" s="11">
        <v>33706</v>
      </c>
      <c r="L34" s="11">
        <v>2611</v>
      </c>
      <c r="M34" s="11">
        <v>5867</v>
      </c>
      <c r="N34" s="11">
        <v>3485</v>
      </c>
      <c r="O34" s="11">
        <v>9433</v>
      </c>
      <c r="P34" s="11"/>
      <c r="Q34" s="11"/>
      <c r="R34" s="11">
        <v>209</v>
      </c>
      <c r="S34" s="11">
        <v>540</v>
      </c>
      <c r="T34" s="11">
        <v>1047</v>
      </c>
      <c r="U34" s="11">
        <v>3170</v>
      </c>
      <c r="V34" s="11"/>
      <c r="W34" s="11"/>
      <c r="X34" s="11">
        <v>8411</v>
      </c>
      <c r="Y34" s="11">
        <v>17494</v>
      </c>
      <c r="Z34" s="11">
        <v>4894</v>
      </c>
      <c r="AA34" s="11">
        <v>12648</v>
      </c>
      <c r="AB34" s="11">
        <v>11347</v>
      </c>
      <c r="AC34" s="11">
        <v>56598</v>
      </c>
      <c r="AD34" s="11">
        <v>58223</v>
      </c>
      <c r="AE34" s="11">
        <v>218120</v>
      </c>
      <c r="AF34" s="11">
        <v>7390</v>
      </c>
      <c r="AG34" s="11">
        <v>13456</v>
      </c>
      <c r="AH34" s="11">
        <v>1047</v>
      </c>
      <c r="AI34" s="11">
        <v>2700</v>
      </c>
      <c r="AJ34" s="11">
        <v>5619</v>
      </c>
      <c r="AK34" s="11">
        <v>5522</v>
      </c>
      <c r="AL34" s="11">
        <v>4016</v>
      </c>
      <c r="AM34" s="11">
        <v>7924</v>
      </c>
      <c r="AN34" s="11"/>
      <c r="AO34" s="11"/>
      <c r="AP34" s="11">
        <v>76411.883502879005</v>
      </c>
      <c r="AQ34" s="11">
        <v>159837.16356775901</v>
      </c>
      <c r="AR34" s="11">
        <v>132117</v>
      </c>
      <c r="AS34" s="11">
        <v>292301</v>
      </c>
      <c r="AT34" s="11">
        <v>133138</v>
      </c>
      <c r="AU34" s="11">
        <v>190029</v>
      </c>
      <c r="AV34" s="11">
        <v>270</v>
      </c>
      <c r="AW34" s="11">
        <v>270</v>
      </c>
      <c r="AX34" s="11">
        <v>3139</v>
      </c>
      <c r="AY34" s="11">
        <v>15317</v>
      </c>
      <c r="AZ34" s="11"/>
      <c r="BA34" s="11"/>
      <c r="BB34" s="11"/>
      <c r="BC34" s="11"/>
      <c r="BD34" s="11">
        <v>18738</v>
      </c>
      <c r="BE34" s="11">
        <v>24881</v>
      </c>
      <c r="BF34" s="11">
        <v>4217</v>
      </c>
      <c r="BG34" s="11">
        <v>4217</v>
      </c>
      <c r="BH34" s="11">
        <v>2278</v>
      </c>
      <c r="BI34" s="11">
        <v>5324</v>
      </c>
      <c r="BJ34" s="11"/>
      <c r="BK34" s="11"/>
      <c r="BL34" s="11">
        <v>8634</v>
      </c>
      <c r="BM34" s="11">
        <v>13833</v>
      </c>
      <c r="BN34" s="11">
        <v>37834</v>
      </c>
      <c r="BO34" s="11">
        <v>114278</v>
      </c>
      <c r="BP34" s="11">
        <v>-839</v>
      </c>
      <c r="BQ34" s="11">
        <v>2700</v>
      </c>
      <c r="BR34" s="99">
        <f t="shared" si="6"/>
        <v>538572.88350287895</v>
      </c>
      <c r="BS34" s="99">
        <f t="shared" si="7"/>
        <v>1210165.1635677591</v>
      </c>
    </row>
    <row r="35" spans="1:71" x14ac:dyDescent="0.25">
      <c r="A35" s="11" t="s">
        <v>289</v>
      </c>
      <c r="B35" s="11"/>
      <c r="C35" s="11"/>
      <c r="D35" s="11"/>
      <c r="E35" s="11"/>
      <c r="F35" s="11"/>
      <c r="G35" s="11"/>
      <c r="H35" s="11"/>
      <c r="I35" s="11"/>
      <c r="J35" s="11">
        <v>395114</v>
      </c>
      <c r="K35" s="11">
        <v>692470</v>
      </c>
      <c r="L35" s="11">
        <v>73430</v>
      </c>
      <c r="M35" s="11">
        <v>156149</v>
      </c>
      <c r="N35" s="11">
        <v>48752</v>
      </c>
      <c r="O35" s="11">
        <v>97743</v>
      </c>
      <c r="P35" s="11"/>
      <c r="Q35" s="11"/>
      <c r="R35" s="11">
        <v>-2</v>
      </c>
      <c r="S35" s="11">
        <v>-27</v>
      </c>
      <c r="T35" s="11">
        <v>723</v>
      </c>
      <c r="U35" s="11">
        <v>1349</v>
      </c>
      <c r="V35" s="11"/>
      <c r="W35" s="11"/>
      <c r="X35" s="11">
        <v>111202</v>
      </c>
      <c r="Y35" s="11">
        <v>218135</v>
      </c>
      <c r="Z35" s="11">
        <v>8793</v>
      </c>
      <c r="AA35" s="11">
        <v>24308</v>
      </c>
      <c r="AB35" s="11">
        <v>-277875</v>
      </c>
      <c r="AC35" s="11">
        <v>-620929</v>
      </c>
      <c r="AD35" s="11">
        <v>469082</v>
      </c>
      <c r="AE35" s="11">
        <v>1233156</v>
      </c>
      <c r="AF35" s="11">
        <v>177435</v>
      </c>
      <c r="AG35" s="11">
        <v>391451</v>
      </c>
      <c r="AH35" s="11">
        <v>1118</v>
      </c>
      <c r="AI35" s="11">
        <v>9436</v>
      </c>
      <c r="AJ35" s="11">
        <v>45701</v>
      </c>
      <c r="AK35" s="11">
        <v>110263</v>
      </c>
      <c r="AL35" s="11">
        <v>-11595</v>
      </c>
      <c r="AM35" s="11">
        <v>-20800</v>
      </c>
      <c r="AN35" s="11"/>
      <c r="AO35" s="11"/>
      <c r="AP35" s="11">
        <v>153522.86748861097</v>
      </c>
      <c r="AQ35" s="11">
        <v>422467.77917968296</v>
      </c>
      <c r="AR35" s="11">
        <v>815397</v>
      </c>
      <c r="AS35" s="11">
        <v>1589848</v>
      </c>
      <c r="AT35" s="11">
        <v>232033</v>
      </c>
      <c r="AU35" s="11">
        <v>462124</v>
      </c>
      <c r="AV35" s="11">
        <v>1410</v>
      </c>
      <c r="AW35" s="11">
        <v>2877</v>
      </c>
      <c r="AX35" s="11">
        <v>149648</v>
      </c>
      <c r="AY35" s="11">
        <v>392758</v>
      </c>
      <c r="AZ35" s="11"/>
      <c r="BA35" s="11"/>
      <c r="BB35" s="11"/>
      <c r="BC35" s="11"/>
      <c r="BD35" s="11">
        <v>-176916</v>
      </c>
      <c r="BE35" s="11">
        <v>-310799</v>
      </c>
      <c r="BF35" s="11">
        <v>49842</v>
      </c>
      <c r="BG35" s="11">
        <v>112059</v>
      </c>
      <c r="BH35" s="11">
        <v>25185</v>
      </c>
      <c r="BI35" s="11">
        <v>41538</v>
      </c>
      <c r="BJ35" s="11"/>
      <c r="BK35" s="11"/>
      <c r="BL35" s="11">
        <v>144578</v>
      </c>
      <c r="BM35" s="11">
        <v>278316</v>
      </c>
      <c r="BN35" s="11">
        <v>1068794</v>
      </c>
      <c r="BO35" s="11">
        <v>1482263</v>
      </c>
      <c r="BP35" s="11">
        <v>25192</v>
      </c>
      <c r="BQ35" s="11">
        <v>45577</v>
      </c>
      <c r="BR35" s="99">
        <f t="shared" si="6"/>
        <v>3530563.867488611</v>
      </c>
      <c r="BS35" s="99">
        <f t="shared" si="7"/>
        <v>6811732.779179683</v>
      </c>
    </row>
    <row r="36" spans="1:71" x14ac:dyDescent="0.25">
      <c r="A36" s="11" t="s">
        <v>243</v>
      </c>
      <c r="B36" s="11"/>
      <c r="C36" s="11"/>
      <c r="D36" s="11"/>
      <c r="E36" s="11"/>
      <c r="F36" s="11"/>
      <c r="G36" s="11"/>
      <c r="H36" s="11"/>
      <c r="I36" s="11"/>
      <c r="J36" s="11">
        <v>59625</v>
      </c>
      <c r="K36" s="11">
        <v>145816</v>
      </c>
      <c r="L36" s="11">
        <v>17679</v>
      </c>
      <c r="M36" s="11">
        <v>40048</v>
      </c>
      <c r="N36" s="11">
        <v>24908</v>
      </c>
      <c r="O36" s="11">
        <v>62330</v>
      </c>
      <c r="P36" s="11"/>
      <c r="Q36" s="11"/>
      <c r="R36" s="11">
        <v>207</v>
      </c>
      <c r="S36" s="11">
        <v>513</v>
      </c>
      <c r="T36" s="11">
        <v>324</v>
      </c>
      <c r="U36" s="11">
        <v>1821</v>
      </c>
      <c r="V36" s="11"/>
      <c r="W36" s="11"/>
      <c r="X36" s="11">
        <v>26783</v>
      </c>
      <c r="Y36" s="11">
        <v>64136</v>
      </c>
      <c r="Z36" s="11">
        <v>1927</v>
      </c>
      <c r="AA36" s="11">
        <v>5568</v>
      </c>
      <c r="AB36" s="11">
        <v>86652</v>
      </c>
      <c r="AC36" s="11">
        <v>279915</v>
      </c>
      <c r="AD36" s="11">
        <v>257018</v>
      </c>
      <c r="AE36" s="11">
        <v>579267</v>
      </c>
      <c r="AF36" s="11">
        <v>29777</v>
      </c>
      <c r="AG36" s="11">
        <v>80518</v>
      </c>
      <c r="AH36" s="11">
        <v>1169</v>
      </c>
      <c r="AI36" s="11">
        <v>3308</v>
      </c>
      <c r="AJ36" s="11">
        <v>26615</v>
      </c>
      <c r="AK36" s="11">
        <v>41431</v>
      </c>
      <c r="AL36" s="11">
        <v>5612</v>
      </c>
      <c r="AM36" s="11">
        <v>7872</v>
      </c>
      <c r="AN36" s="11"/>
      <c r="AO36" s="11"/>
      <c r="AP36" s="11">
        <v>469961.06411105493</v>
      </c>
      <c r="AQ36" s="11">
        <v>1008368.0438704952</v>
      </c>
      <c r="AR36" s="11">
        <v>864168</v>
      </c>
      <c r="AS36" s="11">
        <v>1637571</v>
      </c>
      <c r="AT36" s="11">
        <v>453245</v>
      </c>
      <c r="AU36" s="11">
        <v>989832</v>
      </c>
      <c r="AV36" s="11">
        <v>644</v>
      </c>
      <c r="AW36" s="11">
        <v>936</v>
      </c>
      <c r="AX36" s="11">
        <v>84840</v>
      </c>
      <c r="AY36" s="11">
        <v>208985</v>
      </c>
      <c r="AZ36" s="11"/>
      <c r="BA36" s="11"/>
      <c r="BB36" s="11"/>
      <c r="BC36" s="11"/>
      <c r="BD36" s="11">
        <v>13817</v>
      </c>
      <c r="BE36" s="11">
        <v>74031</v>
      </c>
      <c r="BF36" s="11">
        <v>38164</v>
      </c>
      <c r="BG36" s="11">
        <v>63119</v>
      </c>
      <c r="BH36" s="11">
        <v>24557</v>
      </c>
      <c r="BI36" s="11">
        <v>53136</v>
      </c>
      <c r="BJ36" s="11"/>
      <c r="BK36" s="11"/>
      <c r="BL36" s="11">
        <v>17302</v>
      </c>
      <c r="BM36" s="11">
        <v>22665</v>
      </c>
      <c r="BN36" s="11">
        <v>101845</v>
      </c>
      <c r="BO36" s="11">
        <v>651009</v>
      </c>
      <c r="BP36" s="11">
        <v>-8472</v>
      </c>
      <c r="BQ36" s="11">
        <v>2298</v>
      </c>
      <c r="BR36" s="99">
        <f t="shared" si="6"/>
        <v>2598367.0641110549</v>
      </c>
      <c r="BS36" s="99">
        <f t="shared" si="7"/>
        <v>6024493.0438704956</v>
      </c>
    </row>
    <row r="37" spans="1:71" x14ac:dyDescent="0.25">
      <c r="A37" s="11" t="s">
        <v>244</v>
      </c>
      <c r="B37" s="11"/>
      <c r="C37" s="11"/>
      <c r="D37" s="11"/>
      <c r="E37" s="11"/>
      <c r="F37" s="11"/>
      <c r="G37" s="11"/>
      <c r="H37" s="11"/>
      <c r="I37" s="11"/>
      <c r="J37" s="11">
        <v>85259</v>
      </c>
      <c r="K37" s="11">
        <v>157669</v>
      </c>
      <c r="L37" s="11">
        <v>19813</v>
      </c>
      <c r="M37" s="11">
        <v>37256</v>
      </c>
      <c r="N37" s="11">
        <v>25975</v>
      </c>
      <c r="O37" s="11">
        <v>55225</v>
      </c>
      <c r="P37" s="11"/>
      <c r="Q37" s="11"/>
      <c r="R37" s="11">
        <v>644</v>
      </c>
      <c r="S37" s="11">
        <v>785</v>
      </c>
      <c r="T37" s="11">
        <v>518</v>
      </c>
      <c r="U37" s="11">
        <v>1659</v>
      </c>
      <c r="V37" s="11"/>
      <c r="W37" s="11"/>
      <c r="X37" s="11">
        <v>18642</v>
      </c>
      <c r="Y37" s="11">
        <v>53336</v>
      </c>
      <c r="Z37" s="11">
        <v>2571</v>
      </c>
      <c r="AA37" s="11">
        <v>5176</v>
      </c>
      <c r="AB37" s="11">
        <v>135072</v>
      </c>
      <c r="AC37" s="11">
        <v>193892</v>
      </c>
      <c r="AD37" s="11">
        <v>247839</v>
      </c>
      <c r="AE37" s="11">
        <v>459598</v>
      </c>
      <c r="AF37" s="11">
        <v>50019</v>
      </c>
      <c r="AG37" s="11">
        <v>104098</v>
      </c>
      <c r="AH37" s="11">
        <v>1474</v>
      </c>
      <c r="AI37" s="11">
        <v>2845</v>
      </c>
      <c r="AJ37" s="11">
        <v>25391</v>
      </c>
      <c r="AK37" s="11">
        <v>47863</v>
      </c>
      <c r="AL37" s="11">
        <v>4932</v>
      </c>
      <c r="AM37" s="11">
        <v>8330</v>
      </c>
      <c r="AN37" s="11"/>
      <c r="AO37" s="11"/>
      <c r="AP37" s="11">
        <v>398553.2631110549</v>
      </c>
      <c r="AQ37" s="11">
        <v>916913.87387049512</v>
      </c>
      <c r="AR37" s="11">
        <v>829577</v>
      </c>
      <c r="AS37" s="11">
        <v>1532091</v>
      </c>
      <c r="AT37" s="11">
        <v>494051</v>
      </c>
      <c r="AU37" s="11">
        <v>987375</v>
      </c>
      <c r="AV37" s="11">
        <v>669</v>
      </c>
      <c r="AW37" s="11">
        <v>1074</v>
      </c>
      <c r="AX37" s="11">
        <v>85025</v>
      </c>
      <c r="AY37" s="11">
        <v>168466</v>
      </c>
      <c r="AZ37" s="11"/>
      <c r="BA37" s="11"/>
      <c r="BB37" s="11"/>
      <c r="BC37" s="11"/>
      <c r="BD37" s="11">
        <v>13108</v>
      </c>
      <c r="BE37" s="11">
        <v>65341</v>
      </c>
      <c r="BF37" s="11">
        <v>27925</v>
      </c>
      <c r="BG37" s="11">
        <v>52085</v>
      </c>
      <c r="BH37" s="11">
        <v>24931</v>
      </c>
      <c r="BI37" s="11">
        <v>47042</v>
      </c>
      <c r="BJ37" s="11"/>
      <c r="BK37" s="11"/>
      <c r="BL37" s="11">
        <v>20840</v>
      </c>
      <c r="BM37" s="11">
        <v>26533</v>
      </c>
      <c r="BN37" s="11">
        <v>275472</v>
      </c>
      <c r="BO37" s="11">
        <v>770347</v>
      </c>
      <c r="BP37" s="11">
        <v>-1637</v>
      </c>
      <c r="BQ37" s="11">
        <v>10584</v>
      </c>
      <c r="BR37" s="99">
        <f t="shared" si="6"/>
        <v>2786663.2631110549</v>
      </c>
      <c r="BS37" s="99">
        <f t="shared" si="7"/>
        <v>5705583.8738704957</v>
      </c>
    </row>
    <row r="39" spans="1:71" x14ac:dyDescent="0.25">
      <c r="A39" s="31" t="s">
        <v>234</v>
      </c>
    </row>
    <row r="40" spans="1:71" x14ac:dyDescent="0.25">
      <c r="A40" s="1" t="s">
        <v>0</v>
      </c>
      <c r="B40" s="105" t="s">
        <v>1</v>
      </c>
      <c r="C40" s="106"/>
      <c r="D40" s="105" t="s">
        <v>2</v>
      </c>
      <c r="E40" s="106"/>
      <c r="F40" s="105" t="s">
        <v>3</v>
      </c>
      <c r="G40" s="106"/>
      <c r="H40" s="105" t="s">
        <v>4</v>
      </c>
      <c r="I40" s="106"/>
      <c r="J40" s="105" t="s">
        <v>5</v>
      </c>
      <c r="K40" s="106"/>
      <c r="L40" s="105" t="s">
        <v>6</v>
      </c>
      <c r="M40" s="106"/>
      <c r="N40" s="105" t="s">
        <v>7</v>
      </c>
      <c r="O40" s="106"/>
      <c r="P40" s="105" t="s">
        <v>8</v>
      </c>
      <c r="Q40" s="106"/>
      <c r="R40" s="105" t="s">
        <v>9</v>
      </c>
      <c r="S40" s="106"/>
      <c r="T40" s="105" t="s">
        <v>10</v>
      </c>
      <c r="U40" s="106"/>
      <c r="V40" s="105" t="s">
        <v>11</v>
      </c>
      <c r="W40" s="106"/>
      <c r="X40" s="105" t="s">
        <v>12</v>
      </c>
      <c r="Y40" s="106"/>
      <c r="Z40" s="105" t="s">
        <v>13</v>
      </c>
      <c r="AA40" s="106"/>
      <c r="AB40" s="105" t="s">
        <v>14</v>
      </c>
      <c r="AC40" s="106"/>
      <c r="AD40" s="105" t="s">
        <v>15</v>
      </c>
      <c r="AE40" s="106"/>
      <c r="AF40" s="105" t="s">
        <v>16</v>
      </c>
      <c r="AG40" s="106"/>
      <c r="AH40" s="105" t="s">
        <v>17</v>
      </c>
      <c r="AI40" s="106"/>
      <c r="AJ40" s="105" t="s">
        <v>18</v>
      </c>
      <c r="AK40" s="106"/>
      <c r="AL40" s="105" t="s">
        <v>19</v>
      </c>
      <c r="AM40" s="106"/>
      <c r="AN40" s="105" t="s">
        <v>20</v>
      </c>
      <c r="AO40" s="106"/>
      <c r="AP40" s="105" t="s">
        <v>21</v>
      </c>
      <c r="AQ40" s="106"/>
      <c r="AR40" s="105" t="s">
        <v>22</v>
      </c>
      <c r="AS40" s="106"/>
      <c r="AT40" s="105" t="s">
        <v>23</v>
      </c>
      <c r="AU40" s="106"/>
      <c r="AV40" s="105" t="s">
        <v>24</v>
      </c>
      <c r="AW40" s="106"/>
      <c r="AX40" s="105" t="s">
        <v>25</v>
      </c>
      <c r="AY40" s="106"/>
      <c r="AZ40" s="105" t="s">
        <v>26</v>
      </c>
      <c r="BA40" s="106"/>
      <c r="BB40" s="105" t="s">
        <v>27</v>
      </c>
      <c r="BC40" s="106"/>
      <c r="BD40" s="105" t="s">
        <v>28</v>
      </c>
      <c r="BE40" s="106"/>
      <c r="BF40" s="105" t="s">
        <v>29</v>
      </c>
      <c r="BG40" s="106"/>
      <c r="BH40" s="105" t="s">
        <v>30</v>
      </c>
      <c r="BI40" s="106"/>
      <c r="BJ40" s="105" t="s">
        <v>31</v>
      </c>
      <c r="BK40" s="106"/>
      <c r="BL40" s="105" t="s">
        <v>32</v>
      </c>
      <c r="BM40" s="106"/>
      <c r="BN40" s="109" t="s">
        <v>33</v>
      </c>
      <c r="BO40" s="110"/>
      <c r="BP40" s="105" t="s">
        <v>34</v>
      </c>
      <c r="BQ40" s="106"/>
      <c r="BR40" s="107" t="s">
        <v>35</v>
      </c>
      <c r="BS40" s="108"/>
    </row>
    <row r="41" spans="1:71" ht="30" x14ac:dyDescent="0.25">
      <c r="A41" s="1"/>
      <c r="B41" s="76" t="s">
        <v>295</v>
      </c>
      <c r="C41" s="77" t="s">
        <v>296</v>
      </c>
      <c r="D41" s="76" t="s">
        <v>295</v>
      </c>
      <c r="E41" s="77" t="s">
        <v>296</v>
      </c>
      <c r="F41" s="76" t="s">
        <v>295</v>
      </c>
      <c r="G41" s="77" t="s">
        <v>296</v>
      </c>
      <c r="H41" s="76" t="s">
        <v>295</v>
      </c>
      <c r="I41" s="77" t="s">
        <v>296</v>
      </c>
      <c r="J41" s="76" t="s">
        <v>295</v>
      </c>
      <c r="K41" s="77" t="s">
        <v>296</v>
      </c>
      <c r="L41" s="76" t="s">
        <v>295</v>
      </c>
      <c r="M41" s="77" t="s">
        <v>296</v>
      </c>
      <c r="N41" s="76" t="s">
        <v>295</v>
      </c>
      <c r="O41" s="77" t="s">
        <v>296</v>
      </c>
      <c r="P41" s="76" t="s">
        <v>295</v>
      </c>
      <c r="Q41" s="77" t="s">
        <v>296</v>
      </c>
      <c r="R41" s="76" t="s">
        <v>295</v>
      </c>
      <c r="S41" s="77" t="s">
        <v>296</v>
      </c>
      <c r="T41" s="76" t="s">
        <v>295</v>
      </c>
      <c r="U41" s="77" t="s">
        <v>296</v>
      </c>
      <c r="V41" s="76" t="s">
        <v>295</v>
      </c>
      <c r="W41" s="77" t="s">
        <v>296</v>
      </c>
      <c r="X41" s="76" t="s">
        <v>295</v>
      </c>
      <c r="Y41" s="77" t="s">
        <v>296</v>
      </c>
      <c r="Z41" s="76" t="s">
        <v>295</v>
      </c>
      <c r="AA41" s="77" t="s">
        <v>296</v>
      </c>
      <c r="AB41" s="76" t="s">
        <v>295</v>
      </c>
      <c r="AC41" s="77" t="s">
        <v>296</v>
      </c>
      <c r="AD41" s="76" t="s">
        <v>295</v>
      </c>
      <c r="AE41" s="77" t="s">
        <v>296</v>
      </c>
      <c r="AF41" s="76" t="s">
        <v>295</v>
      </c>
      <c r="AG41" s="77" t="s">
        <v>296</v>
      </c>
      <c r="AH41" s="76" t="s">
        <v>295</v>
      </c>
      <c r="AI41" s="77" t="s">
        <v>296</v>
      </c>
      <c r="AJ41" s="76" t="s">
        <v>295</v>
      </c>
      <c r="AK41" s="77" t="s">
        <v>296</v>
      </c>
      <c r="AL41" s="76" t="s">
        <v>295</v>
      </c>
      <c r="AM41" s="77" t="s">
        <v>296</v>
      </c>
      <c r="AN41" s="76" t="s">
        <v>295</v>
      </c>
      <c r="AO41" s="77" t="s">
        <v>296</v>
      </c>
      <c r="AP41" s="76" t="s">
        <v>295</v>
      </c>
      <c r="AQ41" s="77" t="s">
        <v>296</v>
      </c>
      <c r="AR41" s="76" t="s">
        <v>295</v>
      </c>
      <c r="AS41" s="77" t="s">
        <v>296</v>
      </c>
      <c r="AT41" s="76" t="s">
        <v>295</v>
      </c>
      <c r="AU41" s="77" t="s">
        <v>296</v>
      </c>
      <c r="AV41" s="76" t="s">
        <v>295</v>
      </c>
      <c r="AW41" s="77" t="s">
        <v>296</v>
      </c>
      <c r="AX41" s="76" t="s">
        <v>295</v>
      </c>
      <c r="AY41" s="77" t="s">
        <v>296</v>
      </c>
      <c r="AZ41" s="76" t="s">
        <v>295</v>
      </c>
      <c r="BA41" s="77" t="s">
        <v>296</v>
      </c>
      <c r="BB41" s="76" t="s">
        <v>295</v>
      </c>
      <c r="BC41" s="77" t="s">
        <v>296</v>
      </c>
      <c r="BD41" s="76" t="s">
        <v>295</v>
      </c>
      <c r="BE41" s="77" t="s">
        <v>296</v>
      </c>
      <c r="BF41" s="76" t="s">
        <v>295</v>
      </c>
      <c r="BG41" s="77" t="s">
        <v>296</v>
      </c>
      <c r="BH41" s="76" t="s">
        <v>295</v>
      </c>
      <c r="BI41" s="77" t="s">
        <v>296</v>
      </c>
      <c r="BJ41" s="76" t="s">
        <v>295</v>
      </c>
      <c r="BK41" s="77" t="s">
        <v>296</v>
      </c>
      <c r="BL41" s="76" t="s">
        <v>295</v>
      </c>
      <c r="BM41" s="77" t="s">
        <v>296</v>
      </c>
      <c r="BN41" s="76" t="s">
        <v>295</v>
      </c>
      <c r="BO41" s="77" t="s">
        <v>296</v>
      </c>
      <c r="BP41" s="76" t="s">
        <v>295</v>
      </c>
      <c r="BQ41" s="77" t="s">
        <v>296</v>
      </c>
      <c r="BR41" s="95" t="s">
        <v>295</v>
      </c>
      <c r="BS41" s="96" t="s">
        <v>296</v>
      </c>
    </row>
    <row r="42" spans="1:71" x14ac:dyDescent="0.25">
      <c r="A42" s="11" t="s">
        <v>285</v>
      </c>
      <c r="B42" s="11">
        <v>227353</v>
      </c>
      <c r="C42" s="11">
        <v>400611</v>
      </c>
      <c r="D42" s="11">
        <v>1450373</v>
      </c>
      <c r="E42" s="11">
        <v>2667256</v>
      </c>
      <c r="F42" s="11"/>
      <c r="G42" s="11"/>
      <c r="H42" s="11">
        <v>5262581</v>
      </c>
      <c r="I42" s="11">
        <v>9533123</v>
      </c>
      <c r="J42" s="11">
        <v>5173392</v>
      </c>
      <c r="K42" s="11">
        <v>11874671</v>
      </c>
      <c r="L42" s="11">
        <v>903606</v>
      </c>
      <c r="M42" s="11">
        <v>1980413</v>
      </c>
      <c r="N42" s="11">
        <v>852359</v>
      </c>
      <c r="O42" s="11">
        <v>1657545</v>
      </c>
      <c r="P42" s="11">
        <v>1250361</v>
      </c>
      <c r="Q42" s="11">
        <v>2490653</v>
      </c>
      <c r="R42" s="11">
        <v>122982</v>
      </c>
      <c r="S42" s="11">
        <v>199244</v>
      </c>
      <c r="T42" s="11">
        <v>217245</v>
      </c>
      <c r="U42" s="11">
        <v>358327</v>
      </c>
      <c r="V42" s="11"/>
      <c r="W42" s="11"/>
      <c r="X42" s="11">
        <v>647280</v>
      </c>
      <c r="Y42" s="11">
        <v>1475875</v>
      </c>
      <c r="Z42" s="11">
        <v>60113</v>
      </c>
      <c r="AA42" s="11">
        <v>129198</v>
      </c>
      <c r="AB42" s="11">
        <v>3179789</v>
      </c>
      <c r="AC42" s="11">
        <v>6090007</v>
      </c>
      <c r="AD42" s="11">
        <v>6581081</v>
      </c>
      <c r="AE42" s="11">
        <v>14300186</v>
      </c>
      <c r="AF42" s="11">
        <v>3450636</v>
      </c>
      <c r="AG42" s="11">
        <v>7564612</v>
      </c>
      <c r="AH42" s="11">
        <v>229555</v>
      </c>
      <c r="AI42" s="11">
        <v>417728</v>
      </c>
      <c r="AJ42" s="11">
        <v>514418</v>
      </c>
      <c r="AK42" s="11">
        <v>1361674</v>
      </c>
      <c r="AL42" s="11">
        <v>97342</v>
      </c>
      <c r="AM42" s="11">
        <v>213328</v>
      </c>
      <c r="AN42" s="11">
        <v>2666978</v>
      </c>
      <c r="AO42" s="11">
        <v>5055412</v>
      </c>
      <c r="AP42" s="11">
        <v>18416367.213645019</v>
      </c>
      <c r="AQ42" s="11">
        <v>28822647.019973859</v>
      </c>
      <c r="AR42" s="11">
        <v>23152853</v>
      </c>
      <c r="AS42" s="11">
        <v>51497023</v>
      </c>
      <c r="AT42" s="11">
        <v>11288645</v>
      </c>
      <c r="AU42" s="11">
        <v>20995292</v>
      </c>
      <c r="AV42" s="11">
        <v>276</v>
      </c>
      <c r="AW42" s="11">
        <v>822</v>
      </c>
      <c r="AX42" s="11">
        <v>4085419</v>
      </c>
      <c r="AY42" s="11">
        <v>9427310</v>
      </c>
      <c r="AZ42" s="11">
        <v>26143</v>
      </c>
      <c r="BA42" s="11">
        <v>61460</v>
      </c>
      <c r="BB42" s="11">
        <v>5214450</v>
      </c>
      <c r="BC42" s="11">
        <v>10645247</v>
      </c>
      <c r="BD42" s="11">
        <v>994673</v>
      </c>
      <c r="BE42" s="11">
        <v>1996081</v>
      </c>
      <c r="BF42" s="11">
        <v>1754912</v>
      </c>
      <c r="BG42" s="11">
        <v>3519266</v>
      </c>
      <c r="BH42" s="11">
        <v>2912</v>
      </c>
      <c r="BI42" s="11">
        <v>4703</v>
      </c>
      <c r="BJ42" s="11"/>
      <c r="BK42" s="11"/>
      <c r="BL42" s="11">
        <v>2630144</v>
      </c>
      <c r="BM42" s="11">
        <v>5277434</v>
      </c>
      <c r="BN42" s="11">
        <v>9492963</v>
      </c>
      <c r="BO42" s="11">
        <v>20510534</v>
      </c>
      <c r="BP42" s="11">
        <v>407367</v>
      </c>
      <c r="BQ42" s="11">
        <v>880318</v>
      </c>
      <c r="BR42" s="99">
        <f t="shared" ref="BR42:BR46" si="8">SUM(B42+D42+F42+H42+J42+L42+N42+P42+R42+T42+V42+X42+Z42+AB42+AD42+AF42+AH42+AJ42+AL42+AN42+AP42+AR42+AT42+AV42+AX42+AZ42+BB42+BD42+BF42+BH42+BJ42+BL42+BN42+BP42)</f>
        <v>110354568.21364501</v>
      </c>
      <c r="BS42" s="99">
        <f t="shared" ref="BS42:BS46" si="9">SUM(C42+E42+G42+I42+K42+M42+O42+Q42+S42+U42+W42+Y42+AA42+AC42+AE42+AG42+AI42+AK42+AM42+AO42+AQ42+AS42+AU42+AW42+AY42+BA42+BC42+BE42+BG42+BI42+BK42+BM42+BO42+BQ42)</f>
        <v>221408000.01997387</v>
      </c>
    </row>
    <row r="43" spans="1:71" x14ac:dyDescent="0.25">
      <c r="A43" s="11" t="s">
        <v>288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>
        <v>18893</v>
      </c>
      <c r="U43" s="11">
        <v>19267</v>
      </c>
      <c r="V43" s="11"/>
      <c r="W43" s="11"/>
      <c r="X43" s="11"/>
      <c r="Y43" s="11"/>
      <c r="Z43" s="11"/>
      <c r="AA43" s="11"/>
      <c r="AB43" s="11"/>
      <c r="AC43" s="11"/>
      <c r="AD43" s="11">
        <v>470193</v>
      </c>
      <c r="AE43" s="11">
        <v>623826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>
        <v>0</v>
      </c>
      <c r="AQ43" s="11">
        <v>0</v>
      </c>
      <c r="AR43" s="11">
        <v>0</v>
      </c>
      <c r="AS43" s="11">
        <v>0</v>
      </c>
      <c r="AT43" s="11">
        <v>37238</v>
      </c>
      <c r="AU43" s="11">
        <v>54043</v>
      </c>
      <c r="AV43" s="11"/>
      <c r="AW43" s="11"/>
      <c r="AX43" s="11"/>
      <c r="AY43" s="11"/>
      <c r="AZ43" s="11"/>
      <c r="BA43" s="11"/>
      <c r="BB43" s="11">
        <v>18232</v>
      </c>
      <c r="BC43" s="11">
        <v>80218</v>
      </c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99">
        <f t="shared" si="8"/>
        <v>544556</v>
      </c>
      <c r="BS43" s="99">
        <f t="shared" si="9"/>
        <v>777354</v>
      </c>
    </row>
    <row r="44" spans="1:71" x14ac:dyDescent="0.25">
      <c r="A44" s="11" t="s">
        <v>289</v>
      </c>
      <c r="B44" s="11">
        <v>11373</v>
      </c>
      <c r="C44" s="11">
        <v>20028</v>
      </c>
      <c r="D44" s="11">
        <v>528884</v>
      </c>
      <c r="E44" s="11">
        <v>593722</v>
      </c>
      <c r="F44" s="11"/>
      <c r="G44" s="11"/>
      <c r="H44" s="11">
        <v>1251813</v>
      </c>
      <c r="I44" s="11">
        <v>2231591</v>
      </c>
      <c r="J44" s="11">
        <v>1589669</v>
      </c>
      <c r="K44" s="11">
        <v>3471180</v>
      </c>
      <c r="L44" s="11">
        <v>141833</v>
      </c>
      <c r="M44" s="11">
        <v>289113</v>
      </c>
      <c r="N44" s="11">
        <v>214217</v>
      </c>
      <c r="O44" s="11">
        <v>376092</v>
      </c>
      <c r="P44" s="11">
        <v>64050</v>
      </c>
      <c r="Q44" s="11">
        <v>126605</v>
      </c>
      <c r="R44" s="11">
        <v>-21959</v>
      </c>
      <c r="S44" s="11">
        <v>-39211</v>
      </c>
      <c r="T44" s="11">
        <v>5570</v>
      </c>
      <c r="U44" s="11">
        <v>86636</v>
      </c>
      <c r="V44" s="11"/>
      <c r="W44" s="11"/>
      <c r="X44" s="11">
        <v>94512</v>
      </c>
      <c r="Y44" s="11">
        <v>258839</v>
      </c>
      <c r="Z44" s="11">
        <v>3006</v>
      </c>
      <c r="AA44" s="11">
        <v>6460</v>
      </c>
      <c r="AB44" s="11">
        <v>-1469785</v>
      </c>
      <c r="AC44" s="11">
        <v>-2754990</v>
      </c>
      <c r="AD44" s="11">
        <v>2297200</v>
      </c>
      <c r="AE44" s="11">
        <v>4666393</v>
      </c>
      <c r="AF44" s="11">
        <v>816932</v>
      </c>
      <c r="AG44" s="11">
        <v>1129666</v>
      </c>
      <c r="AH44" s="11">
        <v>17238</v>
      </c>
      <c r="AI44" s="11">
        <v>34621</v>
      </c>
      <c r="AJ44" s="11">
        <v>35695</v>
      </c>
      <c r="AK44" s="11">
        <v>90773</v>
      </c>
      <c r="AL44" s="11">
        <v>-33189</v>
      </c>
      <c r="AM44" s="11">
        <v>-88471</v>
      </c>
      <c r="AN44" s="11">
        <v>635373</v>
      </c>
      <c r="AO44" s="11">
        <v>1193560</v>
      </c>
      <c r="AP44" s="11">
        <v>9812437.8114572223</v>
      </c>
      <c r="AQ44" s="11">
        <v>13098162.258978367</v>
      </c>
      <c r="AR44" s="11">
        <v>3060825</v>
      </c>
      <c r="AS44" s="11">
        <v>6235612</v>
      </c>
      <c r="AT44" s="11">
        <v>539653</v>
      </c>
      <c r="AU44" s="11">
        <v>1022733</v>
      </c>
      <c r="AV44" s="11">
        <v>14</v>
      </c>
      <c r="AW44" s="11">
        <v>41</v>
      </c>
      <c r="AX44" s="11">
        <v>846971</v>
      </c>
      <c r="AY44" s="11">
        <v>2056094</v>
      </c>
      <c r="AZ44" s="11">
        <v>9167</v>
      </c>
      <c r="BA44" s="11">
        <v>21463</v>
      </c>
      <c r="BB44" s="11">
        <v>1760253</v>
      </c>
      <c r="BC44" s="11">
        <v>3938097</v>
      </c>
      <c r="BD44" s="11">
        <v>-203502</v>
      </c>
      <c r="BE44" s="11">
        <v>-389182</v>
      </c>
      <c r="BF44" s="11">
        <v>87745</v>
      </c>
      <c r="BG44" s="11">
        <v>175963</v>
      </c>
      <c r="BH44" s="11">
        <v>934</v>
      </c>
      <c r="BI44" s="11">
        <v>1566</v>
      </c>
      <c r="BJ44" s="11"/>
      <c r="BK44" s="11"/>
      <c r="BL44" s="11">
        <v>701091</v>
      </c>
      <c r="BM44" s="11">
        <v>1389861</v>
      </c>
      <c r="BN44" s="11">
        <v>862369</v>
      </c>
      <c r="BO44" s="11">
        <v>1535284</v>
      </c>
      <c r="BP44" s="11">
        <v>27363</v>
      </c>
      <c r="BQ44" s="11">
        <v>54106</v>
      </c>
      <c r="BR44" s="99">
        <f t="shared" si="8"/>
        <v>23687752.811457224</v>
      </c>
      <c r="BS44" s="99">
        <f t="shared" si="9"/>
        <v>40832407.258978367</v>
      </c>
    </row>
    <row r="45" spans="1:71" x14ac:dyDescent="0.25">
      <c r="A45" s="11" t="s">
        <v>243</v>
      </c>
      <c r="B45" s="11">
        <v>215980</v>
      </c>
      <c r="C45" s="11">
        <v>380583</v>
      </c>
      <c r="D45" s="11">
        <v>921489</v>
      </c>
      <c r="E45" s="11">
        <v>2073534</v>
      </c>
      <c r="F45" s="11"/>
      <c r="G45" s="11"/>
      <c r="H45" s="11">
        <v>4010768</v>
      </c>
      <c r="I45" s="11">
        <v>7301532</v>
      </c>
      <c r="J45" s="11">
        <v>3583723</v>
      </c>
      <c r="K45" s="11">
        <v>8403491</v>
      </c>
      <c r="L45" s="11">
        <v>761773</v>
      </c>
      <c r="M45" s="11">
        <v>1691300</v>
      </c>
      <c r="N45" s="11">
        <v>638142</v>
      </c>
      <c r="O45" s="11">
        <v>1281453</v>
      </c>
      <c r="P45" s="11">
        <v>1186311</v>
      </c>
      <c r="Q45" s="11">
        <v>2364048</v>
      </c>
      <c r="R45" s="11">
        <v>101023</v>
      </c>
      <c r="S45" s="11">
        <v>160033</v>
      </c>
      <c r="T45" s="11">
        <v>230568</v>
      </c>
      <c r="U45" s="11">
        <v>290958</v>
      </c>
      <c r="V45" s="11"/>
      <c r="W45" s="11"/>
      <c r="X45" s="11">
        <v>552768</v>
      </c>
      <c r="Y45" s="11">
        <v>1217037</v>
      </c>
      <c r="Z45" s="11">
        <v>57108</v>
      </c>
      <c r="AA45" s="11">
        <v>122738</v>
      </c>
      <c r="AB45" s="11">
        <v>1710005</v>
      </c>
      <c r="AC45" s="11">
        <v>3335017</v>
      </c>
      <c r="AD45" s="11">
        <v>4754074</v>
      </c>
      <c r="AE45" s="11">
        <v>10257619</v>
      </c>
      <c r="AF45" s="11">
        <v>2633704</v>
      </c>
      <c r="AG45" s="11">
        <v>6434946</v>
      </c>
      <c r="AH45" s="11">
        <v>212317</v>
      </c>
      <c r="AI45" s="11">
        <v>383107</v>
      </c>
      <c r="AJ45" s="11">
        <v>478723</v>
      </c>
      <c r="AK45" s="11">
        <v>1270901</v>
      </c>
      <c r="AL45" s="11">
        <v>64153</v>
      </c>
      <c r="AM45" s="11">
        <v>124857</v>
      </c>
      <c r="AN45" s="11">
        <v>2031605</v>
      </c>
      <c r="AO45" s="11">
        <v>3861852</v>
      </c>
      <c r="AP45" s="11">
        <v>8603929.4021877963</v>
      </c>
      <c r="AQ45" s="11">
        <v>15724484.760995492</v>
      </c>
      <c r="AR45" s="11">
        <v>20092028</v>
      </c>
      <c r="AS45" s="11">
        <v>45261411</v>
      </c>
      <c r="AT45" s="11">
        <v>10786230</v>
      </c>
      <c r="AU45" s="11">
        <v>20026602</v>
      </c>
      <c r="AV45" s="11">
        <v>262</v>
      </c>
      <c r="AW45" s="11">
        <v>781</v>
      </c>
      <c r="AX45" s="11">
        <v>3238448</v>
      </c>
      <c r="AY45" s="11">
        <v>7371216</v>
      </c>
      <c r="AZ45" s="11">
        <v>16976</v>
      </c>
      <c r="BA45" s="11">
        <v>39997</v>
      </c>
      <c r="BB45" s="11">
        <v>3472429</v>
      </c>
      <c r="BC45" s="11">
        <v>6787368</v>
      </c>
      <c r="BD45" s="11">
        <v>791171</v>
      </c>
      <c r="BE45" s="11">
        <v>1606899</v>
      </c>
      <c r="BF45" s="11">
        <v>1667167</v>
      </c>
      <c r="BG45" s="11">
        <v>3343303</v>
      </c>
      <c r="BH45" s="11">
        <v>1978</v>
      </c>
      <c r="BI45" s="11">
        <v>3137</v>
      </c>
      <c r="BJ45" s="11"/>
      <c r="BK45" s="11"/>
      <c r="BL45" s="11">
        <v>1929053</v>
      </c>
      <c r="BM45" s="11">
        <v>3887573</v>
      </c>
      <c r="BN45" s="11">
        <v>8630594</v>
      </c>
      <c r="BO45" s="11">
        <v>18975250</v>
      </c>
      <c r="BP45" s="11">
        <v>380004</v>
      </c>
      <c r="BQ45" s="11">
        <v>826212</v>
      </c>
      <c r="BR45" s="99">
        <f t="shared" si="8"/>
        <v>83754503.402187794</v>
      </c>
      <c r="BS45" s="99">
        <f t="shared" si="9"/>
        <v>174809239.76099551</v>
      </c>
    </row>
    <row r="46" spans="1:71" x14ac:dyDescent="0.25">
      <c r="A46" s="11" t="s">
        <v>244</v>
      </c>
      <c r="B46" s="11">
        <v>199673</v>
      </c>
      <c r="C46" s="11">
        <v>363644</v>
      </c>
      <c r="D46" s="11">
        <v>881672</v>
      </c>
      <c r="E46" s="11">
        <v>1755228</v>
      </c>
      <c r="F46" s="11"/>
      <c r="G46" s="11"/>
      <c r="H46" s="11">
        <v>3569612</v>
      </c>
      <c r="I46" s="11">
        <v>6320509</v>
      </c>
      <c r="J46" s="11">
        <v>4415897</v>
      </c>
      <c r="K46" s="11">
        <v>9161412</v>
      </c>
      <c r="L46" s="11">
        <v>620769</v>
      </c>
      <c r="M46" s="11">
        <v>1393546</v>
      </c>
      <c r="N46" s="11">
        <v>841053</v>
      </c>
      <c r="O46" s="11">
        <v>1386203</v>
      </c>
      <c r="P46" s="11">
        <v>1134805</v>
      </c>
      <c r="Q46" s="11">
        <v>2297021</v>
      </c>
      <c r="R46" s="11">
        <v>180433</v>
      </c>
      <c r="S46" s="11">
        <v>290671</v>
      </c>
      <c r="T46" s="11">
        <v>125906</v>
      </c>
      <c r="U46" s="11">
        <v>243946</v>
      </c>
      <c r="V46" s="11"/>
      <c r="W46" s="11"/>
      <c r="X46" s="11">
        <v>622185</v>
      </c>
      <c r="Y46" s="11">
        <v>1185840</v>
      </c>
      <c r="Z46" s="11">
        <v>51793</v>
      </c>
      <c r="AA46" s="11">
        <v>111533</v>
      </c>
      <c r="AB46" s="11">
        <v>1769623</v>
      </c>
      <c r="AC46" s="11">
        <v>3528888</v>
      </c>
      <c r="AD46" s="11">
        <v>4663989</v>
      </c>
      <c r="AE46" s="11">
        <v>9053999</v>
      </c>
      <c r="AF46" s="11">
        <v>2518075</v>
      </c>
      <c r="AG46" s="11">
        <v>4750580</v>
      </c>
      <c r="AH46" s="11">
        <v>146202</v>
      </c>
      <c r="AI46" s="11">
        <v>278355</v>
      </c>
      <c r="AJ46" s="11">
        <v>624366</v>
      </c>
      <c r="AK46" s="11">
        <v>1121698</v>
      </c>
      <c r="AL46" s="11">
        <v>59402</v>
      </c>
      <c r="AM46" s="11">
        <v>175521</v>
      </c>
      <c r="AN46" s="11">
        <v>1996271</v>
      </c>
      <c r="AO46" s="11">
        <v>3025177</v>
      </c>
      <c r="AP46" s="11">
        <v>7755050.8741877964</v>
      </c>
      <c r="AQ46" s="11">
        <v>16389598.022995492</v>
      </c>
      <c r="AR46" s="11">
        <v>19436025</v>
      </c>
      <c r="AS46" s="11">
        <v>37868645</v>
      </c>
      <c r="AT46" s="11">
        <v>10306700</v>
      </c>
      <c r="AU46" s="11">
        <v>19589754</v>
      </c>
      <c r="AV46" s="11">
        <v>312</v>
      </c>
      <c r="AW46" s="11">
        <v>615</v>
      </c>
      <c r="AX46" s="11">
        <v>3181657</v>
      </c>
      <c r="AY46" s="11">
        <v>5220368</v>
      </c>
      <c r="AZ46" s="11">
        <v>8610</v>
      </c>
      <c r="BA46" s="11">
        <v>20096</v>
      </c>
      <c r="BB46" s="11">
        <v>3598986</v>
      </c>
      <c r="BC46" s="11">
        <v>6202187</v>
      </c>
      <c r="BD46" s="11">
        <v>731366</v>
      </c>
      <c r="BE46" s="11">
        <v>1442175</v>
      </c>
      <c r="BF46" s="11">
        <v>1397631</v>
      </c>
      <c r="BG46" s="11">
        <v>2665412</v>
      </c>
      <c r="BH46" s="11">
        <v>1098</v>
      </c>
      <c r="BI46" s="11">
        <v>2185</v>
      </c>
      <c r="BJ46" s="11"/>
      <c r="BK46" s="11"/>
      <c r="BL46" s="11">
        <v>1711471</v>
      </c>
      <c r="BM46" s="11">
        <v>3403891</v>
      </c>
      <c r="BN46" s="11">
        <v>8831207</v>
      </c>
      <c r="BO46" s="11">
        <v>19364435</v>
      </c>
      <c r="BP46" s="11">
        <v>358659</v>
      </c>
      <c r="BQ46" s="11">
        <v>693853</v>
      </c>
      <c r="BR46" s="99">
        <f t="shared" si="8"/>
        <v>81740498.874187797</v>
      </c>
      <c r="BS46" s="99">
        <f t="shared" si="9"/>
        <v>159306985.0229955</v>
      </c>
    </row>
    <row r="48" spans="1:71" x14ac:dyDescent="0.25">
      <c r="A48" s="31" t="s">
        <v>235</v>
      </c>
    </row>
    <row r="49" spans="1:71" x14ac:dyDescent="0.25">
      <c r="A49" s="1" t="s">
        <v>0</v>
      </c>
      <c r="B49" s="105" t="s">
        <v>1</v>
      </c>
      <c r="C49" s="106"/>
      <c r="D49" s="105" t="s">
        <v>2</v>
      </c>
      <c r="E49" s="106"/>
      <c r="F49" s="105" t="s">
        <v>3</v>
      </c>
      <c r="G49" s="106"/>
      <c r="H49" s="105" t="s">
        <v>4</v>
      </c>
      <c r="I49" s="106"/>
      <c r="J49" s="105" t="s">
        <v>5</v>
      </c>
      <c r="K49" s="106"/>
      <c r="L49" s="105" t="s">
        <v>6</v>
      </c>
      <c r="M49" s="106"/>
      <c r="N49" s="105" t="s">
        <v>7</v>
      </c>
      <c r="O49" s="106"/>
      <c r="P49" s="105" t="s">
        <v>8</v>
      </c>
      <c r="Q49" s="106"/>
      <c r="R49" s="105" t="s">
        <v>9</v>
      </c>
      <c r="S49" s="106"/>
      <c r="T49" s="105" t="s">
        <v>10</v>
      </c>
      <c r="U49" s="106"/>
      <c r="V49" s="105" t="s">
        <v>11</v>
      </c>
      <c r="W49" s="106"/>
      <c r="X49" s="105" t="s">
        <v>12</v>
      </c>
      <c r="Y49" s="106"/>
      <c r="Z49" s="105" t="s">
        <v>13</v>
      </c>
      <c r="AA49" s="106"/>
      <c r="AB49" s="105" t="s">
        <v>14</v>
      </c>
      <c r="AC49" s="106"/>
      <c r="AD49" s="105" t="s">
        <v>15</v>
      </c>
      <c r="AE49" s="106"/>
      <c r="AF49" s="105" t="s">
        <v>16</v>
      </c>
      <c r="AG49" s="106"/>
      <c r="AH49" s="105" t="s">
        <v>17</v>
      </c>
      <c r="AI49" s="106"/>
      <c r="AJ49" s="105" t="s">
        <v>18</v>
      </c>
      <c r="AK49" s="106"/>
      <c r="AL49" s="105" t="s">
        <v>19</v>
      </c>
      <c r="AM49" s="106"/>
      <c r="AN49" s="105" t="s">
        <v>20</v>
      </c>
      <c r="AO49" s="106"/>
      <c r="AP49" s="105" t="s">
        <v>21</v>
      </c>
      <c r="AQ49" s="106"/>
      <c r="AR49" s="105" t="s">
        <v>22</v>
      </c>
      <c r="AS49" s="106"/>
      <c r="AT49" s="105" t="s">
        <v>23</v>
      </c>
      <c r="AU49" s="106"/>
      <c r="AV49" s="105" t="s">
        <v>24</v>
      </c>
      <c r="AW49" s="106"/>
      <c r="AX49" s="105" t="s">
        <v>25</v>
      </c>
      <c r="AY49" s="106"/>
      <c r="AZ49" s="105" t="s">
        <v>26</v>
      </c>
      <c r="BA49" s="106"/>
      <c r="BB49" s="105" t="s">
        <v>27</v>
      </c>
      <c r="BC49" s="106"/>
      <c r="BD49" s="105" t="s">
        <v>28</v>
      </c>
      <c r="BE49" s="106"/>
      <c r="BF49" s="105" t="s">
        <v>29</v>
      </c>
      <c r="BG49" s="106"/>
      <c r="BH49" s="105" t="s">
        <v>30</v>
      </c>
      <c r="BI49" s="106"/>
      <c r="BJ49" s="105" t="s">
        <v>31</v>
      </c>
      <c r="BK49" s="106"/>
      <c r="BL49" s="105" t="s">
        <v>32</v>
      </c>
      <c r="BM49" s="106"/>
      <c r="BN49" s="109" t="s">
        <v>33</v>
      </c>
      <c r="BO49" s="110"/>
      <c r="BP49" s="105" t="s">
        <v>34</v>
      </c>
      <c r="BQ49" s="106"/>
      <c r="BR49" s="107" t="s">
        <v>35</v>
      </c>
      <c r="BS49" s="108"/>
    </row>
    <row r="50" spans="1:71" ht="30" x14ac:dyDescent="0.25">
      <c r="A50" s="1"/>
      <c r="B50" s="76" t="s">
        <v>295</v>
      </c>
      <c r="C50" s="77" t="s">
        <v>296</v>
      </c>
      <c r="D50" s="76" t="s">
        <v>295</v>
      </c>
      <c r="E50" s="77" t="s">
        <v>296</v>
      </c>
      <c r="F50" s="76" t="s">
        <v>295</v>
      </c>
      <c r="G50" s="77" t="s">
        <v>296</v>
      </c>
      <c r="H50" s="76" t="s">
        <v>295</v>
      </c>
      <c r="I50" s="77" t="s">
        <v>296</v>
      </c>
      <c r="J50" s="76" t="s">
        <v>295</v>
      </c>
      <c r="K50" s="77" t="s">
        <v>296</v>
      </c>
      <c r="L50" s="76" t="s">
        <v>295</v>
      </c>
      <c r="M50" s="77" t="s">
        <v>296</v>
      </c>
      <c r="N50" s="76" t="s">
        <v>295</v>
      </c>
      <c r="O50" s="77" t="s">
        <v>296</v>
      </c>
      <c r="P50" s="76" t="s">
        <v>295</v>
      </c>
      <c r="Q50" s="77" t="s">
        <v>296</v>
      </c>
      <c r="R50" s="76" t="s">
        <v>295</v>
      </c>
      <c r="S50" s="77" t="s">
        <v>296</v>
      </c>
      <c r="T50" s="76" t="s">
        <v>295</v>
      </c>
      <c r="U50" s="77" t="s">
        <v>296</v>
      </c>
      <c r="V50" s="76" t="s">
        <v>295</v>
      </c>
      <c r="W50" s="77" t="s">
        <v>296</v>
      </c>
      <c r="X50" s="76" t="s">
        <v>295</v>
      </c>
      <c r="Y50" s="77" t="s">
        <v>296</v>
      </c>
      <c r="Z50" s="76" t="s">
        <v>295</v>
      </c>
      <c r="AA50" s="77" t="s">
        <v>296</v>
      </c>
      <c r="AB50" s="76" t="s">
        <v>295</v>
      </c>
      <c r="AC50" s="77" t="s">
        <v>296</v>
      </c>
      <c r="AD50" s="76" t="s">
        <v>295</v>
      </c>
      <c r="AE50" s="77" t="s">
        <v>296</v>
      </c>
      <c r="AF50" s="76" t="s">
        <v>295</v>
      </c>
      <c r="AG50" s="77" t="s">
        <v>296</v>
      </c>
      <c r="AH50" s="76" t="s">
        <v>295</v>
      </c>
      <c r="AI50" s="77" t="s">
        <v>296</v>
      </c>
      <c r="AJ50" s="76" t="s">
        <v>295</v>
      </c>
      <c r="AK50" s="77" t="s">
        <v>296</v>
      </c>
      <c r="AL50" s="76" t="s">
        <v>295</v>
      </c>
      <c r="AM50" s="77" t="s">
        <v>296</v>
      </c>
      <c r="AN50" s="76" t="s">
        <v>295</v>
      </c>
      <c r="AO50" s="77" t="s">
        <v>296</v>
      </c>
      <c r="AP50" s="76" t="s">
        <v>295</v>
      </c>
      <c r="AQ50" s="77" t="s">
        <v>296</v>
      </c>
      <c r="AR50" s="76" t="s">
        <v>295</v>
      </c>
      <c r="AS50" s="77" t="s">
        <v>296</v>
      </c>
      <c r="AT50" s="76" t="s">
        <v>295</v>
      </c>
      <c r="AU50" s="77" t="s">
        <v>296</v>
      </c>
      <c r="AV50" s="76" t="s">
        <v>295</v>
      </c>
      <c r="AW50" s="77" t="s">
        <v>296</v>
      </c>
      <c r="AX50" s="76" t="s">
        <v>295</v>
      </c>
      <c r="AY50" s="77" t="s">
        <v>296</v>
      </c>
      <c r="AZ50" s="76" t="s">
        <v>295</v>
      </c>
      <c r="BA50" s="77" t="s">
        <v>296</v>
      </c>
      <c r="BB50" s="76" t="s">
        <v>295</v>
      </c>
      <c r="BC50" s="77" t="s">
        <v>296</v>
      </c>
      <c r="BD50" s="76" t="s">
        <v>295</v>
      </c>
      <c r="BE50" s="77" t="s">
        <v>296</v>
      </c>
      <c r="BF50" s="76" t="s">
        <v>295</v>
      </c>
      <c r="BG50" s="77" t="s">
        <v>296</v>
      </c>
      <c r="BH50" s="76" t="s">
        <v>295</v>
      </c>
      <c r="BI50" s="77" t="s">
        <v>296</v>
      </c>
      <c r="BJ50" s="76" t="s">
        <v>295</v>
      </c>
      <c r="BK50" s="77" t="s">
        <v>296</v>
      </c>
      <c r="BL50" s="76" t="s">
        <v>295</v>
      </c>
      <c r="BM50" s="77" t="s">
        <v>296</v>
      </c>
      <c r="BN50" s="76" t="s">
        <v>295</v>
      </c>
      <c r="BO50" s="77" t="s">
        <v>296</v>
      </c>
      <c r="BP50" s="76" t="s">
        <v>295</v>
      </c>
      <c r="BQ50" s="77" t="s">
        <v>296</v>
      </c>
      <c r="BR50" s="95" t="s">
        <v>295</v>
      </c>
      <c r="BS50" s="96" t="s">
        <v>296</v>
      </c>
    </row>
    <row r="51" spans="1:71" x14ac:dyDescent="0.25">
      <c r="A51" s="11" t="s">
        <v>285</v>
      </c>
      <c r="B51" s="11">
        <v>1568</v>
      </c>
      <c r="C51" s="11">
        <v>4034</v>
      </c>
      <c r="D51" s="11">
        <v>267295</v>
      </c>
      <c r="E51" s="11">
        <v>481407</v>
      </c>
      <c r="F51" s="11"/>
      <c r="G51" s="11"/>
      <c r="H51" s="11">
        <v>413963</v>
      </c>
      <c r="I51" s="11">
        <v>890524</v>
      </c>
      <c r="J51" s="11">
        <v>685426</v>
      </c>
      <c r="K51" s="11">
        <v>1399850</v>
      </c>
      <c r="L51" s="11">
        <v>103503</v>
      </c>
      <c r="M51" s="11">
        <v>180898</v>
      </c>
      <c r="N51" s="11">
        <v>816483</v>
      </c>
      <c r="O51" s="11">
        <v>1517049</v>
      </c>
      <c r="P51" s="11">
        <v>18921</v>
      </c>
      <c r="Q51" s="11">
        <v>38309</v>
      </c>
      <c r="R51" s="11">
        <v>12494</v>
      </c>
      <c r="S51" s="11">
        <v>22478</v>
      </c>
      <c r="T51" s="11">
        <v>2248</v>
      </c>
      <c r="U51" s="11">
        <v>2398</v>
      </c>
      <c r="V51" s="11"/>
      <c r="W51" s="11"/>
      <c r="X51" s="11">
        <v>185224</v>
      </c>
      <c r="Y51" s="11">
        <v>341985</v>
      </c>
      <c r="Z51" s="11">
        <v>24059</v>
      </c>
      <c r="AA51" s="11">
        <v>46434</v>
      </c>
      <c r="AB51" s="11">
        <v>1549897</v>
      </c>
      <c r="AC51" s="11">
        <v>3281016</v>
      </c>
      <c r="AD51" s="11">
        <v>1224532</v>
      </c>
      <c r="AE51" s="11">
        <v>2580183</v>
      </c>
      <c r="AF51" s="11">
        <v>255386</v>
      </c>
      <c r="AG51" s="11">
        <v>502959</v>
      </c>
      <c r="AH51" s="11">
        <v>67817</v>
      </c>
      <c r="AI51" s="11">
        <v>124254</v>
      </c>
      <c r="AJ51" s="11">
        <v>42313</v>
      </c>
      <c r="AK51" s="11">
        <v>107789</v>
      </c>
      <c r="AL51" s="11">
        <v>7819</v>
      </c>
      <c r="AM51" s="11">
        <v>20980</v>
      </c>
      <c r="AN51" s="11">
        <v>145083</v>
      </c>
      <c r="AO51" s="11">
        <v>261237</v>
      </c>
      <c r="AP51" s="11">
        <v>916253.10599999991</v>
      </c>
      <c r="AQ51" s="11">
        <v>1215065.6529999999</v>
      </c>
      <c r="AR51" s="11">
        <v>807415</v>
      </c>
      <c r="AS51" s="11">
        <v>2205250</v>
      </c>
      <c r="AT51" s="11">
        <v>690973</v>
      </c>
      <c r="AU51" s="11">
        <v>1286278</v>
      </c>
      <c r="AV51" s="11">
        <v>122</v>
      </c>
      <c r="AW51" s="11">
        <v>526</v>
      </c>
      <c r="AX51" s="11">
        <v>125194</v>
      </c>
      <c r="AY51" s="11">
        <v>338884</v>
      </c>
      <c r="AZ51" s="11"/>
      <c r="BA51" s="11"/>
      <c r="BB51" s="11">
        <v>395636</v>
      </c>
      <c r="BC51" s="11">
        <v>718869</v>
      </c>
      <c r="BD51" s="11">
        <v>161566</v>
      </c>
      <c r="BE51" s="11">
        <v>307866</v>
      </c>
      <c r="BF51" s="11">
        <v>2248956</v>
      </c>
      <c r="BG51" s="11">
        <v>3437788</v>
      </c>
      <c r="BH51" s="11">
        <v>29196</v>
      </c>
      <c r="BI51" s="11">
        <v>57940</v>
      </c>
      <c r="BJ51" s="11"/>
      <c r="BK51" s="11"/>
      <c r="BL51" s="11">
        <v>401272</v>
      </c>
      <c r="BM51" s="11">
        <v>723575</v>
      </c>
      <c r="BN51" s="11">
        <v>1378061</v>
      </c>
      <c r="BO51" s="11">
        <v>2513947</v>
      </c>
      <c r="BP51" s="11">
        <v>61949</v>
      </c>
      <c r="BQ51" s="11">
        <v>300524</v>
      </c>
      <c r="BR51" s="99">
        <f>SUM(B51+D51+F51+H51+J51+L51+N51+P51+R51+T51+V51+X51+Z51+AB51+AD51+AF51+AH51+AJ51+AL51+AN51+AP51+AR51+AT51+AV51+AX51+AZ51+BB51+BD51+BF51+BH51+BJ51+BL51+BN51+BP51)</f>
        <v>13040624.105999999</v>
      </c>
      <c r="BS51" s="99">
        <f>SUM(C51+E51+G51+I51+K51+M51+O51+Q51+S51+U51+W51+Y51+AA51+AC51+AE51+AG51+AI51+AK51+AM51+AO51+AQ51+AS51+AU51+AW51+AY51+BA51+BC51+BE51+BG51+BI51+BK51+BM51+BO51+BQ51)</f>
        <v>24910296.653000001</v>
      </c>
    </row>
    <row r="52" spans="1:71" x14ac:dyDescent="0.25">
      <c r="A52" s="11" t="s">
        <v>288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>
        <v>-747</v>
      </c>
      <c r="U52" s="11">
        <v>20369</v>
      </c>
      <c r="V52" s="11"/>
      <c r="W52" s="11"/>
      <c r="X52" s="11"/>
      <c r="Y52" s="11"/>
      <c r="Z52" s="11"/>
      <c r="AA52" s="11"/>
      <c r="AB52" s="11"/>
      <c r="AC52" s="11">
        <v>10438</v>
      </c>
      <c r="AD52" s="11">
        <v>1957</v>
      </c>
      <c r="AE52" s="11">
        <v>6342</v>
      </c>
      <c r="AF52" s="11"/>
      <c r="AG52" s="11"/>
      <c r="AH52" s="11"/>
      <c r="AI52" s="11"/>
      <c r="AJ52" s="11">
        <v>2650</v>
      </c>
      <c r="AK52" s="11">
        <v>14650</v>
      </c>
      <c r="AL52" s="11">
        <v>318</v>
      </c>
      <c r="AM52" s="11">
        <v>2656</v>
      </c>
      <c r="AN52" s="11"/>
      <c r="AO52" s="11"/>
      <c r="AP52" s="11">
        <v>0</v>
      </c>
      <c r="AQ52" s="11">
        <v>0</v>
      </c>
      <c r="AR52" s="11">
        <v>17752</v>
      </c>
      <c r="AS52" s="11">
        <v>32851</v>
      </c>
      <c r="AT52" s="11">
        <v>2039</v>
      </c>
      <c r="AU52" s="11">
        <v>2056</v>
      </c>
      <c r="AV52" s="11"/>
      <c r="AW52" s="11"/>
      <c r="AX52" s="11"/>
      <c r="AY52" s="11"/>
      <c r="AZ52" s="11"/>
      <c r="BA52" s="11"/>
      <c r="BB52" s="11"/>
      <c r="BC52" s="11">
        <v>20</v>
      </c>
      <c r="BD52" s="11">
        <v>90</v>
      </c>
      <c r="BE52" s="11">
        <v>21572</v>
      </c>
      <c r="BF52" s="11"/>
      <c r="BG52" s="11"/>
      <c r="BH52" s="11"/>
      <c r="BI52" s="11"/>
      <c r="BJ52" s="11"/>
      <c r="BK52" s="11"/>
      <c r="BL52" s="11"/>
      <c r="BM52" s="11">
        <v>3748</v>
      </c>
      <c r="BN52" s="11">
        <v>1</v>
      </c>
      <c r="BO52" s="11">
        <v>-1</v>
      </c>
      <c r="BP52" s="11"/>
      <c r="BQ52" s="11"/>
      <c r="BR52" s="99">
        <f t="shared" ref="BR52:BR55" si="10">SUM(B52+D52+F52+H52+J52+L52+N52+P52+R52+T52+V52+X52+Z52+AB52+AD52+AF52+AH52+AJ52+AL52+AN52+AP52+AR52+AT52+AV52+AX52+AZ52+BB52+BD52+BF52+BH52+BJ52+BL52+BN52+BP52)</f>
        <v>24060</v>
      </c>
      <c r="BS52" s="99">
        <f t="shared" ref="BS52:BS55" si="11">SUM(C52+E52+G52+I52+K52+M52+O52+Q52+S52+U52+W52+Y52+AA52+AC52+AE52+AG52+AI52+AK52+AM52+AO52+AQ52+AS52+AU52+AW52+AY52+BA52+BC52+BE52+BG52+BI52+BK52+BM52+BO52+BQ52)</f>
        <v>114701</v>
      </c>
    </row>
    <row r="53" spans="1:71" x14ac:dyDescent="0.25">
      <c r="A53" s="11" t="s">
        <v>289</v>
      </c>
      <c r="B53" s="11">
        <v>78</v>
      </c>
      <c r="C53" s="11">
        <v>201</v>
      </c>
      <c r="D53" s="11">
        <v>13566</v>
      </c>
      <c r="E53" s="11">
        <v>35551</v>
      </c>
      <c r="F53" s="11"/>
      <c r="G53" s="11"/>
      <c r="H53" s="11">
        <v>52151</v>
      </c>
      <c r="I53" s="11">
        <v>126800</v>
      </c>
      <c r="J53" s="11">
        <v>40078</v>
      </c>
      <c r="K53" s="11">
        <v>83450</v>
      </c>
      <c r="L53" s="11">
        <v>6034</v>
      </c>
      <c r="M53" s="11">
        <v>10550</v>
      </c>
      <c r="N53" s="11">
        <v>192510</v>
      </c>
      <c r="O53" s="11">
        <v>280763</v>
      </c>
      <c r="P53" s="11">
        <v>1193</v>
      </c>
      <c r="Q53" s="11">
        <v>2256</v>
      </c>
      <c r="R53" s="11">
        <v>-7478</v>
      </c>
      <c r="S53" s="11">
        <v>-13653</v>
      </c>
      <c r="T53" s="11">
        <v>1982</v>
      </c>
      <c r="U53" s="11">
        <v>2218</v>
      </c>
      <c r="V53" s="11"/>
      <c r="W53" s="11"/>
      <c r="X53" s="11">
        <v>21888</v>
      </c>
      <c r="Y53" s="11">
        <v>42256</v>
      </c>
      <c r="Z53" s="11">
        <v>1203</v>
      </c>
      <c r="AA53" s="11">
        <v>2322</v>
      </c>
      <c r="AB53" s="11">
        <v>-624772</v>
      </c>
      <c r="AC53" s="11">
        <v>-1109941</v>
      </c>
      <c r="AD53" s="11">
        <v>183820</v>
      </c>
      <c r="AE53" s="11">
        <v>386579</v>
      </c>
      <c r="AF53" s="11">
        <v>28933</v>
      </c>
      <c r="AG53" s="11">
        <v>58508</v>
      </c>
      <c r="AH53" s="11">
        <v>39019</v>
      </c>
      <c r="AI53" s="11">
        <v>78098</v>
      </c>
      <c r="AJ53" s="11">
        <v>2097</v>
      </c>
      <c r="AK53" s="11">
        <v>12397</v>
      </c>
      <c r="AL53" s="11">
        <v>920</v>
      </c>
      <c r="AM53" s="11">
        <v>-2140</v>
      </c>
      <c r="AN53" s="11">
        <v>20086</v>
      </c>
      <c r="AO53" s="11">
        <v>40293</v>
      </c>
      <c r="AP53" s="11">
        <v>45812.654999999999</v>
      </c>
      <c r="AQ53" s="11">
        <v>60753.250999999997</v>
      </c>
      <c r="AR53" s="11">
        <v>41595</v>
      </c>
      <c r="AS53" s="11">
        <v>112041</v>
      </c>
      <c r="AT53" s="11">
        <v>138258</v>
      </c>
      <c r="AU53" s="11">
        <v>-17415</v>
      </c>
      <c r="AV53" s="11">
        <v>101</v>
      </c>
      <c r="AW53" s="11">
        <v>439</v>
      </c>
      <c r="AX53" s="11">
        <v>36830</v>
      </c>
      <c r="AY53" s="11">
        <v>100029</v>
      </c>
      <c r="AZ53" s="11"/>
      <c r="BA53" s="11"/>
      <c r="BB53" s="11">
        <v>20132</v>
      </c>
      <c r="BC53" s="11">
        <v>52446</v>
      </c>
      <c r="BD53" s="11">
        <v>-20009</v>
      </c>
      <c r="BE53" s="11">
        <v>-56519</v>
      </c>
      <c r="BF53" s="11">
        <v>122163</v>
      </c>
      <c r="BG53" s="11">
        <v>187511</v>
      </c>
      <c r="BH53" s="11">
        <v>18308</v>
      </c>
      <c r="BI53" s="11">
        <v>37318</v>
      </c>
      <c r="BJ53" s="11"/>
      <c r="BK53" s="11"/>
      <c r="BL53" s="11">
        <v>24301</v>
      </c>
      <c r="BM53" s="11">
        <v>40767</v>
      </c>
      <c r="BN53" s="11">
        <v>186449</v>
      </c>
      <c r="BO53" s="11">
        <v>850422</v>
      </c>
      <c r="BP53" s="11">
        <v>33352</v>
      </c>
      <c r="BQ53" s="11">
        <v>90186</v>
      </c>
      <c r="BR53" s="99">
        <f t="shared" si="10"/>
        <v>620600.65500000003</v>
      </c>
      <c r="BS53" s="99">
        <f t="shared" si="11"/>
        <v>1494486.2509999999</v>
      </c>
    </row>
    <row r="54" spans="1:71" x14ac:dyDescent="0.25">
      <c r="A54" s="11" t="s">
        <v>243</v>
      </c>
      <c r="B54" s="11">
        <v>1490</v>
      </c>
      <c r="C54" s="11">
        <v>3833</v>
      </c>
      <c r="D54" s="11">
        <v>253729</v>
      </c>
      <c r="E54" s="11">
        <v>445856</v>
      </c>
      <c r="F54" s="11"/>
      <c r="G54" s="11"/>
      <c r="H54" s="11">
        <v>361812</v>
      </c>
      <c r="I54" s="11">
        <v>763724</v>
      </c>
      <c r="J54" s="11">
        <v>645348</v>
      </c>
      <c r="K54" s="11">
        <v>1316400</v>
      </c>
      <c r="L54" s="11">
        <v>97469</v>
      </c>
      <c r="M54" s="11">
        <v>170348</v>
      </c>
      <c r="N54" s="11">
        <v>623973</v>
      </c>
      <c r="O54" s="11">
        <v>1236286</v>
      </c>
      <c r="P54" s="11">
        <v>17728</v>
      </c>
      <c r="Q54" s="11">
        <v>36053</v>
      </c>
      <c r="R54" s="11">
        <v>5016</v>
      </c>
      <c r="S54" s="11">
        <v>8825</v>
      </c>
      <c r="T54" s="11">
        <v>-481</v>
      </c>
      <c r="U54" s="11">
        <v>20549</v>
      </c>
      <c r="V54" s="11"/>
      <c r="W54" s="11"/>
      <c r="X54" s="11">
        <v>163337</v>
      </c>
      <c r="Y54" s="11">
        <v>299729</v>
      </c>
      <c r="Z54" s="11">
        <v>22856</v>
      </c>
      <c r="AA54" s="11">
        <v>44112</v>
      </c>
      <c r="AB54" s="11">
        <v>925125</v>
      </c>
      <c r="AC54" s="11">
        <v>2181514</v>
      </c>
      <c r="AD54" s="11">
        <v>1042669</v>
      </c>
      <c r="AE54" s="11">
        <v>2199946</v>
      </c>
      <c r="AF54" s="11">
        <v>226453</v>
      </c>
      <c r="AG54" s="11">
        <v>444451</v>
      </c>
      <c r="AH54" s="11">
        <v>28798</v>
      </c>
      <c r="AI54" s="11">
        <v>46156</v>
      </c>
      <c r="AJ54" s="11">
        <v>42867</v>
      </c>
      <c r="AK54" s="11">
        <v>110042</v>
      </c>
      <c r="AL54" s="11">
        <v>9057</v>
      </c>
      <c r="AM54" s="11">
        <v>21496</v>
      </c>
      <c r="AN54" s="11">
        <v>124997</v>
      </c>
      <c r="AO54" s="11">
        <v>220944</v>
      </c>
      <c r="AP54" s="11">
        <v>870440.45099999988</v>
      </c>
      <c r="AQ54" s="11">
        <v>1154312.402</v>
      </c>
      <c r="AR54" s="11">
        <v>783572</v>
      </c>
      <c r="AS54" s="11">
        <v>2126060</v>
      </c>
      <c r="AT54" s="11">
        <v>554754</v>
      </c>
      <c r="AU54" s="11">
        <v>1305749</v>
      </c>
      <c r="AV54" s="11">
        <v>21</v>
      </c>
      <c r="AW54" s="11">
        <v>88</v>
      </c>
      <c r="AX54" s="11">
        <v>88364</v>
      </c>
      <c r="AY54" s="11">
        <v>238855</v>
      </c>
      <c r="AZ54" s="11"/>
      <c r="BA54" s="11"/>
      <c r="BB54" s="11">
        <v>375504</v>
      </c>
      <c r="BC54" s="11">
        <v>666443</v>
      </c>
      <c r="BD54" s="11">
        <v>141647</v>
      </c>
      <c r="BE54" s="11">
        <v>272919</v>
      </c>
      <c r="BF54" s="11">
        <v>2126793</v>
      </c>
      <c r="BG54" s="11">
        <v>3250277</v>
      </c>
      <c r="BH54" s="11">
        <v>10888</v>
      </c>
      <c r="BI54" s="11">
        <v>20622</v>
      </c>
      <c r="BJ54" s="11"/>
      <c r="BK54" s="11"/>
      <c r="BL54" s="11">
        <v>376971</v>
      </c>
      <c r="BM54" s="11">
        <v>686556</v>
      </c>
      <c r="BN54" s="11">
        <v>1191613</v>
      </c>
      <c r="BO54" s="11">
        <v>1663524</v>
      </c>
      <c r="BP54" s="11">
        <v>28597</v>
      </c>
      <c r="BQ54" s="11">
        <v>210338</v>
      </c>
      <c r="BR54" s="99">
        <f t="shared" si="10"/>
        <v>11141407.450999999</v>
      </c>
      <c r="BS54" s="99">
        <f t="shared" si="11"/>
        <v>21166007.402000003</v>
      </c>
    </row>
    <row r="55" spans="1:71" x14ac:dyDescent="0.25">
      <c r="A55" s="11" t="s">
        <v>244</v>
      </c>
      <c r="B55" s="11">
        <v>1978</v>
      </c>
      <c r="C55" s="11">
        <v>3492</v>
      </c>
      <c r="D55" s="11">
        <v>203093</v>
      </c>
      <c r="E55" s="11">
        <v>357938</v>
      </c>
      <c r="F55" s="11"/>
      <c r="G55" s="11"/>
      <c r="H55" s="11">
        <v>381586</v>
      </c>
      <c r="I55" s="11">
        <v>769051</v>
      </c>
      <c r="J55" s="11">
        <v>627111</v>
      </c>
      <c r="K55" s="11">
        <v>1227188</v>
      </c>
      <c r="L55" s="11">
        <v>60512</v>
      </c>
      <c r="M55" s="11">
        <v>112230</v>
      </c>
      <c r="N55" s="11">
        <v>501257</v>
      </c>
      <c r="O55" s="11">
        <v>977470</v>
      </c>
      <c r="P55" s="11">
        <v>34715</v>
      </c>
      <c r="Q55" s="11">
        <v>64934</v>
      </c>
      <c r="R55" s="11">
        <v>26515</v>
      </c>
      <c r="S55" s="11">
        <v>50183</v>
      </c>
      <c r="T55" s="11">
        <v>4148</v>
      </c>
      <c r="U55" s="11">
        <v>10922</v>
      </c>
      <c r="V55" s="11"/>
      <c r="W55" s="11"/>
      <c r="X55" s="11">
        <v>146461</v>
      </c>
      <c r="Y55" s="11">
        <v>285081</v>
      </c>
      <c r="Z55" s="11">
        <v>8338</v>
      </c>
      <c r="AA55" s="11">
        <v>11488</v>
      </c>
      <c r="AB55" s="11">
        <v>1049747</v>
      </c>
      <c r="AC55" s="11">
        <v>2116729</v>
      </c>
      <c r="AD55" s="11">
        <v>1055297</v>
      </c>
      <c r="AE55" s="11">
        <v>2032302</v>
      </c>
      <c r="AF55" s="11">
        <v>175809</v>
      </c>
      <c r="AG55" s="11">
        <v>337743</v>
      </c>
      <c r="AH55" s="11">
        <v>19426</v>
      </c>
      <c r="AI55" s="11">
        <v>35144</v>
      </c>
      <c r="AJ55" s="11">
        <v>49820</v>
      </c>
      <c r="AK55" s="11">
        <v>95118</v>
      </c>
      <c r="AL55" s="11">
        <v>9539</v>
      </c>
      <c r="AM55" s="11">
        <v>22803</v>
      </c>
      <c r="AN55" s="11">
        <v>106427</v>
      </c>
      <c r="AO55" s="11">
        <v>160386</v>
      </c>
      <c r="AP55" s="11">
        <v>601057.0909999999</v>
      </c>
      <c r="AQ55" s="11">
        <v>916142.73199999996</v>
      </c>
      <c r="AR55" s="11">
        <v>1239981</v>
      </c>
      <c r="AS55" s="11">
        <v>2554681</v>
      </c>
      <c r="AT55" s="11">
        <v>1274742</v>
      </c>
      <c r="AU55" s="11">
        <v>1948644</v>
      </c>
      <c r="AV55" s="11">
        <v>118</v>
      </c>
      <c r="AW55" s="11">
        <v>270</v>
      </c>
      <c r="AX55" s="11">
        <v>84931</v>
      </c>
      <c r="AY55" s="11">
        <v>160465</v>
      </c>
      <c r="AZ55" s="11"/>
      <c r="BA55" s="11"/>
      <c r="BB55" s="11">
        <v>340484</v>
      </c>
      <c r="BC55" s="11">
        <v>592766</v>
      </c>
      <c r="BD55" s="11">
        <v>121402</v>
      </c>
      <c r="BE55" s="11">
        <v>245018</v>
      </c>
      <c r="BF55" s="11">
        <v>1616056</v>
      </c>
      <c r="BG55" s="11">
        <v>3085155</v>
      </c>
      <c r="BH55" s="11">
        <v>10871</v>
      </c>
      <c r="BI55" s="11">
        <v>23624</v>
      </c>
      <c r="BJ55" s="11"/>
      <c r="BK55" s="11"/>
      <c r="BL55" s="11">
        <v>358591</v>
      </c>
      <c r="BM55" s="11">
        <v>682128</v>
      </c>
      <c r="BN55" s="11">
        <v>1159620</v>
      </c>
      <c r="BO55" s="11">
        <v>1584412</v>
      </c>
      <c r="BP55" s="11">
        <v>55275</v>
      </c>
      <c r="BQ55" s="11">
        <v>122841</v>
      </c>
      <c r="BR55" s="99">
        <f t="shared" si="10"/>
        <v>11324907.091</v>
      </c>
      <c r="BS55" s="99">
        <f t="shared" si="11"/>
        <v>20586348.732000001</v>
      </c>
    </row>
    <row r="57" spans="1:71" x14ac:dyDescent="0.25">
      <c r="A57" s="31" t="s">
        <v>236</v>
      </c>
    </row>
    <row r="58" spans="1:71" x14ac:dyDescent="0.25">
      <c r="A58" s="1" t="s">
        <v>0</v>
      </c>
      <c r="B58" s="105" t="s">
        <v>1</v>
      </c>
      <c r="C58" s="106"/>
      <c r="D58" s="105" t="s">
        <v>2</v>
      </c>
      <c r="E58" s="106"/>
      <c r="F58" s="105" t="s">
        <v>3</v>
      </c>
      <c r="G58" s="106"/>
      <c r="H58" s="105" t="s">
        <v>4</v>
      </c>
      <c r="I58" s="106"/>
      <c r="J58" s="105" t="s">
        <v>5</v>
      </c>
      <c r="K58" s="106"/>
      <c r="L58" s="105" t="s">
        <v>6</v>
      </c>
      <c r="M58" s="106"/>
      <c r="N58" s="105" t="s">
        <v>7</v>
      </c>
      <c r="O58" s="106"/>
      <c r="P58" s="105" t="s">
        <v>8</v>
      </c>
      <c r="Q58" s="106"/>
      <c r="R58" s="105" t="s">
        <v>9</v>
      </c>
      <c r="S58" s="106"/>
      <c r="T58" s="105" t="s">
        <v>10</v>
      </c>
      <c r="U58" s="106"/>
      <c r="V58" s="105" t="s">
        <v>11</v>
      </c>
      <c r="W58" s="106"/>
      <c r="X58" s="105" t="s">
        <v>12</v>
      </c>
      <c r="Y58" s="106"/>
      <c r="Z58" s="105" t="s">
        <v>13</v>
      </c>
      <c r="AA58" s="106"/>
      <c r="AB58" s="105" t="s">
        <v>14</v>
      </c>
      <c r="AC58" s="106"/>
      <c r="AD58" s="105" t="s">
        <v>15</v>
      </c>
      <c r="AE58" s="106"/>
      <c r="AF58" s="105" t="s">
        <v>16</v>
      </c>
      <c r="AG58" s="106"/>
      <c r="AH58" s="105" t="s">
        <v>17</v>
      </c>
      <c r="AI58" s="106"/>
      <c r="AJ58" s="105" t="s">
        <v>18</v>
      </c>
      <c r="AK58" s="106"/>
      <c r="AL58" s="105" t="s">
        <v>19</v>
      </c>
      <c r="AM58" s="106"/>
      <c r="AN58" s="105" t="s">
        <v>20</v>
      </c>
      <c r="AO58" s="106"/>
      <c r="AP58" s="105" t="s">
        <v>21</v>
      </c>
      <c r="AQ58" s="106"/>
      <c r="AR58" s="105" t="s">
        <v>22</v>
      </c>
      <c r="AS58" s="106"/>
      <c r="AT58" s="105" t="s">
        <v>23</v>
      </c>
      <c r="AU58" s="106"/>
      <c r="AV58" s="105" t="s">
        <v>24</v>
      </c>
      <c r="AW58" s="106"/>
      <c r="AX58" s="105" t="s">
        <v>25</v>
      </c>
      <c r="AY58" s="106"/>
      <c r="AZ58" s="105" t="s">
        <v>26</v>
      </c>
      <c r="BA58" s="106"/>
      <c r="BB58" s="105" t="s">
        <v>27</v>
      </c>
      <c r="BC58" s="106"/>
      <c r="BD58" s="105" t="s">
        <v>28</v>
      </c>
      <c r="BE58" s="106"/>
      <c r="BF58" s="105" t="s">
        <v>29</v>
      </c>
      <c r="BG58" s="106"/>
      <c r="BH58" s="105" t="s">
        <v>30</v>
      </c>
      <c r="BI58" s="106"/>
      <c r="BJ58" s="105" t="s">
        <v>31</v>
      </c>
      <c r="BK58" s="106"/>
      <c r="BL58" s="105" t="s">
        <v>32</v>
      </c>
      <c r="BM58" s="106"/>
      <c r="BN58" s="109" t="s">
        <v>33</v>
      </c>
      <c r="BO58" s="110"/>
      <c r="BP58" s="105" t="s">
        <v>34</v>
      </c>
      <c r="BQ58" s="106"/>
      <c r="BR58" s="107" t="s">
        <v>35</v>
      </c>
      <c r="BS58" s="108"/>
    </row>
    <row r="59" spans="1:71" ht="30" x14ac:dyDescent="0.25">
      <c r="A59" s="1"/>
      <c r="B59" s="76" t="s">
        <v>295</v>
      </c>
      <c r="C59" s="77" t="s">
        <v>296</v>
      </c>
      <c r="D59" s="76" t="s">
        <v>295</v>
      </c>
      <c r="E59" s="77" t="s">
        <v>296</v>
      </c>
      <c r="F59" s="76" t="s">
        <v>295</v>
      </c>
      <c r="G59" s="77" t="s">
        <v>296</v>
      </c>
      <c r="H59" s="76" t="s">
        <v>295</v>
      </c>
      <c r="I59" s="77" t="s">
        <v>296</v>
      </c>
      <c r="J59" s="76" t="s">
        <v>295</v>
      </c>
      <c r="K59" s="77" t="s">
        <v>296</v>
      </c>
      <c r="L59" s="76" t="s">
        <v>295</v>
      </c>
      <c r="M59" s="77" t="s">
        <v>296</v>
      </c>
      <c r="N59" s="76" t="s">
        <v>295</v>
      </c>
      <c r="O59" s="77" t="s">
        <v>296</v>
      </c>
      <c r="P59" s="76" t="s">
        <v>295</v>
      </c>
      <c r="Q59" s="77" t="s">
        <v>296</v>
      </c>
      <c r="R59" s="76" t="s">
        <v>295</v>
      </c>
      <c r="S59" s="77" t="s">
        <v>296</v>
      </c>
      <c r="T59" s="76" t="s">
        <v>295</v>
      </c>
      <c r="U59" s="77" t="s">
        <v>296</v>
      </c>
      <c r="V59" s="76" t="s">
        <v>295</v>
      </c>
      <c r="W59" s="77" t="s">
        <v>296</v>
      </c>
      <c r="X59" s="76" t="s">
        <v>295</v>
      </c>
      <c r="Y59" s="77" t="s">
        <v>296</v>
      </c>
      <c r="Z59" s="76" t="s">
        <v>295</v>
      </c>
      <c r="AA59" s="77" t="s">
        <v>296</v>
      </c>
      <c r="AB59" s="76" t="s">
        <v>295</v>
      </c>
      <c r="AC59" s="77" t="s">
        <v>296</v>
      </c>
      <c r="AD59" s="76" t="s">
        <v>295</v>
      </c>
      <c r="AE59" s="77" t="s">
        <v>296</v>
      </c>
      <c r="AF59" s="76" t="s">
        <v>295</v>
      </c>
      <c r="AG59" s="77" t="s">
        <v>296</v>
      </c>
      <c r="AH59" s="76" t="s">
        <v>295</v>
      </c>
      <c r="AI59" s="77" t="s">
        <v>296</v>
      </c>
      <c r="AJ59" s="76" t="s">
        <v>295</v>
      </c>
      <c r="AK59" s="77" t="s">
        <v>296</v>
      </c>
      <c r="AL59" s="76" t="s">
        <v>295</v>
      </c>
      <c r="AM59" s="77" t="s">
        <v>296</v>
      </c>
      <c r="AN59" s="76" t="s">
        <v>295</v>
      </c>
      <c r="AO59" s="77" t="s">
        <v>296</v>
      </c>
      <c r="AP59" s="76" t="s">
        <v>295</v>
      </c>
      <c r="AQ59" s="77" t="s">
        <v>296</v>
      </c>
      <c r="AR59" s="76" t="s">
        <v>295</v>
      </c>
      <c r="AS59" s="77" t="s">
        <v>296</v>
      </c>
      <c r="AT59" s="76" t="s">
        <v>295</v>
      </c>
      <c r="AU59" s="77" t="s">
        <v>296</v>
      </c>
      <c r="AV59" s="76" t="s">
        <v>295</v>
      </c>
      <c r="AW59" s="77" t="s">
        <v>296</v>
      </c>
      <c r="AX59" s="76" t="s">
        <v>295</v>
      </c>
      <c r="AY59" s="77" t="s">
        <v>296</v>
      </c>
      <c r="AZ59" s="76" t="s">
        <v>295</v>
      </c>
      <c r="BA59" s="77" t="s">
        <v>296</v>
      </c>
      <c r="BB59" s="76" t="s">
        <v>295</v>
      </c>
      <c r="BC59" s="77" t="s">
        <v>296</v>
      </c>
      <c r="BD59" s="76" t="s">
        <v>295</v>
      </c>
      <c r="BE59" s="77" t="s">
        <v>296</v>
      </c>
      <c r="BF59" s="76" t="s">
        <v>295</v>
      </c>
      <c r="BG59" s="77" t="s">
        <v>296</v>
      </c>
      <c r="BH59" s="76" t="s">
        <v>295</v>
      </c>
      <c r="BI59" s="77" t="s">
        <v>296</v>
      </c>
      <c r="BJ59" s="76" t="s">
        <v>295</v>
      </c>
      <c r="BK59" s="77" t="s">
        <v>296</v>
      </c>
      <c r="BL59" s="76" t="s">
        <v>295</v>
      </c>
      <c r="BM59" s="77" t="s">
        <v>296</v>
      </c>
      <c r="BN59" s="76" t="s">
        <v>295</v>
      </c>
      <c r="BO59" s="77" t="s">
        <v>296</v>
      </c>
      <c r="BP59" s="76" t="s">
        <v>295</v>
      </c>
      <c r="BQ59" s="77" t="s">
        <v>296</v>
      </c>
      <c r="BR59" s="95" t="s">
        <v>295</v>
      </c>
      <c r="BS59" s="96" t="s">
        <v>296</v>
      </c>
    </row>
    <row r="60" spans="1:71" x14ac:dyDescent="0.25">
      <c r="A60" s="11" t="s">
        <v>285</v>
      </c>
      <c r="B60" s="11">
        <v>142628</v>
      </c>
      <c r="C60" s="11">
        <v>241168</v>
      </c>
      <c r="D60" s="11"/>
      <c r="E60" s="11"/>
      <c r="F60" s="11"/>
      <c r="G60" s="11"/>
      <c r="H60" s="11"/>
      <c r="I60" s="11"/>
      <c r="J60" s="11">
        <v>95632</v>
      </c>
      <c r="K60" s="11">
        <v>266870</v>
      </c>
      <c r="L60" s="11">
        <v>65009</v>
      </c>
      <c r="M60" s="11">
        <v>190100</v>
      </c>
      <c r="N60" s="11">
        <v>16063</v>
      </c>
      <c r="O60" s="11">
        <v>43382</v>
      </c>
      <c r="P60" s="11"/>
      <c r="Q60" s="11"/>
      <c r="R60" s="11"/>
      <c r="S60" s="11"/>
      <c r="T60" s="11"/>
      <c r="U60" s="11"/>
      <c r="V60" s="11"/>
      <c r="W60" s="11"/>
      <c r="X60" s="11">
        <v>53190</v>
      </c>
      <c r="Y60" s="11">
        <v>96615</v>
      </c>
      <c r="Z60" s="11"/>
      <c r="AA60" s="11"/>
      <c r="AB60" s="11">
        <v>6564</v>
      </c>
      <c r="AC60" s="11">
        <v>12686</v>
      </c>
      <c r="AD60" s="11">
        <v>69578</v>
      </c>
      <c r="AE60" s="11">
        <v>371383</v>
      </c>
      <c r="AF60" s="11">
        <v>82595</v>
      </c>
      <c r="AG60" s="11">
        <v>200921</v>
      </c>
      <c r="AH60" s="11"/>
      <c r="AI60" s="11"/>
      <c r="AJ60" s="11">
        <v>22779</v>
      </c>
      <c r="AK60" s="11">
        <v>47998</v>
      </c>
      <c r="AL60" s="11">
        <v>102</v>
      </c>
      <c r="AM60" s="11">
        <v>265</v>
      </c>
      <c r="AN60" s="11"/>
      <c r="AO60" s="11"/>
      <c r="AP60" s="11">
        <v>160478.18353750004</v>
      </c>
      <c r="AQ60" s="11">
        <v>393642.15653750004</v>
      </c>
      <c r="AR60" s="11">
        <v>1293761</v>
      </c>
      <c r="AS60" s="11">
        <v>3334262</v>
      </c>
      <c r="AT60" s="11">
        <v>148925</v>
      </c>
      <c r="AU60" s="11">
        <v>352468</v>
      </c>
      <c r="AV60" s="11">
        <v>3455</v>
      </c>
      <c r="AW60" s="11">
        <v>6362</v>
      </c>
      <c r="AX60" s="11">
        <v>110122</v>
      </c>
      <c r="AY60" s="11">
        <v>198585</v>
      </c>
      <c r="AZ60" s="11"/>
      <c r="BA60" s="11"/>
      <c r="BB60" s="11"/>
      <c r="BC60" s="11"/>
      <c r="BD60" s="11">
        <v>17955</v>
      </c>
      <c r="BE60" s="11">
        <v>34987</v>
      </c>
      <c r="BF60" s="11">
        <v>39019</v>
      </c>
      <c r="BG60" s="11">
        <v>89882</v>
      </c>
      <c r="BH60" s="11">
        <v>1414</v>
      </c>
      <c r="BI60" s="11">
        <v>3505</v>
      </c>
      <c r="BJ60" s="11"/>
      <c r="BK60" s="11"/>
      <c r="BL60" s="11">
        <v>712969</v>
      </c>
      <c r="BM60" s="11">
        <v>1723203</v>
      </c>
      <c r="BN60" s="11">
        <v>255562</v>
      </c>
      <c r="BO60" s="11">
        <v>706478</v>
      </c>
      <c r="BP60" s="11">
        <v>4357</v>
      </c>
      <c r="BQ60" s="11">
        <v>14945</v>
      </c>
      <c r="BR60" s="99">
        <f t="shared" ref="BR60:BR64" si="12">SUM(B60+D60+F60+H60+J60+L60+N60+P60+R60+T60+V60+X60+Z60+AB60+AD60+AF60+AH60+AJ60+AL60+AN60+AP60+AR60+AT60+AV60+AX60+AZ60+BB60+BD60+BF60+BH60+BJ60+BL60+BN60+BP60)</f>
        <v>3302157.1835375</v>
      </c>
      <c r="BS60" s="99">
        <f t="shared" ref="BS60:BS64" si="13">SUM(C60+E60+G60+I60+K60+M60+O60+Q60+S60+U60+W60+Y60+AA60+AC60+AE60+AG60+AI60+AK60+AM60+AO60+AQ60+AS60+AU60+AW60+AY60+BA60+BC60+BE60+BG60+BI60+BK60+BM60+BO60+BQ60)</f>
        <v>8329707.1565375002</v>
      </c>
    </row>
    <row r="61" spans="1:71" x14ac:dyDescent="0.25">
      <c r="A61" s="11" t="s">
        <v>288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>
        <v>2867</v>
      </c>
      <c r="M61" s="11">
        <v>3295</v>
      </c>
      <c r="N61" s="11">
        <v>10063</v>
      </c>
      <c r="O61" s="11">
        <v>10063</v>
      </c>
      <c r="P61" s="11"/>
      <c r="Q61" s="11"/>
      <c r="R61" s="11"/>
      <c r="S61" s="11"/>
      <c r="T61" s="11"/>
      <c r="U61" s="11"/>
      <c r="V61" s="11"/>
      <c r="W61" s="11"/>
      <c r="X61" s="11">
        <v>7393</v>
      </c>
      <c r="Y61" s="11">
        <v>13572</v>
      </c>
      <c r="Z61" s="11"/>
      <c r="AA61" s="11"/>
      <c r="AB61" s="11"/>
      <c r="AC61" s="11">
        <v>1520</v>
      </c>
      <c r="AD61" s="11"/>
      <c r="AE61" s="11"/>
      <c r="AF61" s="11">
        <v>25198</v>
      </c>
      <c r="AG61" s="11">
        <v>26879</v>
      </c>
      <c r="AH61" s="11"/>
      <c r="AI61" s="11"/>
      <c r="AJ61" s="11">
        <v>1796</v>
      </c>
      <c r="AK61" s="11">
        <v>1796</v>
      </c>
      <c r="AL61" s="11"/>
      <c r="AM61" s="11"/>
      <c r="AN61" s="11"/>
      <c r="AO61" s="11"/>
      <c r="AP61" s="11">
        <v>66778.346000000005</v>
      </c>
      <c r="AQ61" s="11">
        <v>0</v>
      </c>
      <c r="AR61" s="11">
        <v>201891</v>
      </c>
      <c r="AS61" s="11">
        <v>205243</v>
      </c>
      <c r="AT61" s="11">
        <v>53</v>
      </c>
      <c r="AU61" s="11">
        <v>193</v>
      </c>
      <c r="AV61" s="11"/>
      <c r="AW61" s="11">
        <v>-15</v>
      </c>
      <c r="AX61" s="11">
        <v>13552</v>
      </c>
      <c r="AY61" s="11">
        <v>13574</v>
      </c>
      <c r="AZ61" s="11"/>
      <c r="BA61" s="11"/>
      <c r="BB61" s="11"/>
      <c r="BC61" s="11"/>
      <c r="BD61" s="11"/>
      <c r="BE61" s="11"/>
      <c r="BF61" s="11">
        <v>3871</v>
      </c>
      <c r="BG61" s="11">
        <v>8245</v>
      </c>
      <c r="BH61" s="11"/>
      <c r="BI61" s="11"/>
      <c r="BJ61" s="11"/>
      <c r="BK61" s="11"/>
      <c r="BL61" s="11">
        <v>100557</v>
      </c>
      <c r="BM61" s="11">
        <v>156750</v>
      </c>
      <c r="BN61" s="11">
        <v>135968</v>
      </c>
      <c r="BO61" s="11">
        <v>138166</v>
      </c>
      <c r="BP61" s="11"/>
      <c r="BQ61" s="11"/>
      <c r="BR61" s="99">
        <f t="shared" si="12"/>
        <v>569987.34600000002</v>
      </c>
      <c r="BS61" s="99">
        <f t="shared" si="13"/>
        <v>579281</v>
      </c>
    </row>
    <row r="62" spans="1:71" x14ac:dyDescent="0.25">
      <c r="A62" s="11" t="s">
        <v>289</v>
      </c>
      <c r="B62" s="11">
        <v>92120</v>
      </c>
      <c r="C62" s="11">
        <v>149754</v>
      </c>
      <c r="D62" s="11"/>
      <c r="E62" s="11"/>
      <c r="F62" s="11"/>
      <c r="G62" s="11"/>
      <c r="H62" s="11"/>
      <c r="I62" s="11"/>
      <c r="J62" s="11">
        <v>60547</v>
      </c>
      <c r="K62" s="11">
        <v>194470</v>
      </c>
      <c r="L62" s="11">
        <v>13399</v>
      </c>
      <c r="M62" s="11">
        <v>81613</v>
      </c>
      <c r="N62" s="11">
        <v>7057</v>
      </c>
      <c r="O62" s="11">
        <v>14730</v>
      </c>
      <c r="P62" s="11"/>
      <c r="Q62" s="11"/>
      <c r="R62" s="11"/>
      <c r="S62" s="11"/>
      <c r="T62" s="11"/>
      <c r="U62" s="11"/>
      <c r="V62" s="11"/>
      <c r="W62" s="11"/>
      <c r="X62" s="11">
        <v>36806</v>
      </c>
      <c r="Y62" s="11">
        <v>72122</v>
      </c>
      <c r="Z62" s="11"/>
      <c r="AA62" s="11"/>
      <c r="AB62" s="11">
        <v>-2924</v>
      </c>
      <c r="AC62" s="11">
        <v>-4816</v>
      </c>
      <c r="AD62" s="11">
        <v>27116</v>
      </c>
      <c r="AE62" s="11">
        <v>227592</v>
      </c>
      <c r="AF62" s="11">
        <v>44778</v>
      </c>
      <c r="AG62" s="11">
        <v>82095</v>
      </c>
      <c r="AH62" s="11"/>
      <c r="AI62" s="11"/>
      <c r="AJ62" s="11">
        <v>1545</v>
      </c>
      <c r="AK62" s="11">
        <v>16231</v>
      </c>
      <c r="AL62" s="11">
        <v>-125</v>
      </c>
      <c r="AM62" s="11">
        <v>-231</v>
      </c>
      <c r="AN62" s="11"/>
      <c r="AO62" s="11"/>
      <c r="AP62" s="11">
        <v>8023.6470000000008</v>
      </c>
      <c r="AQ62" s="11">
        <v>19681.846000000001</v>
      </c>
      <c r="AR62" s="11">
        <v>329795</v>
      </c>
      <c r="AS62" s="11">
        <v>1091865</v>
      </c>
      <c r="AT62" s="11">
        <v>99426</v>
      </c>
      <c r="AU62" s="11">
        <v>151146</v>
      </c>
      <c r="AV62" s="11">
        <v>934</v>
      </c>
      <c r="AW62" s="11">
        <v>1700</v>
      </c>
      <c r="AX62" s="11">
        <v>45944</v>
      </c>
      <c r="AY62" s="11">
        <v>75222</v>
      </c>
      <c r="AZ62" s="11"/>
      <c r="BA62" s="11"/>
      <c r="BB62" s="11"/>
      <c r="BC62" s="11"/>
      <c r="BD62" s="11">
        <v>-7835</v>
      </c>
      <c r="BE62" s="11">
        <v>-15267</v>
      </c>
      <c r="BF62" s="11">
        <v>31552</v>
      </c>
      <c r="BG62" s="11">
        <v>76627</v>
      </c>
      <c r="BH62" s="11">
        <v>430</v>
      </c>
      <c r="BI62" s="11">
        <v>1066</v>
      </c>
      <c r="BJ62" s="11"/>
      <c r="BK62" s="11"/>
      <c r="BL62" s="11">
        <v>571790</v>
      </c>
      <c r="BM62" s="11">
        <v>1392719</v>
      </c>
      <c r="BN62" s="11">
        <v>60930</v>
      </c>
      <c r="BO62" s="11">
        <v>354201</v>
      </c>
      <c r="BP62" s="11">
        <v>2722</v>
      </c>
      <c r="BQ62" s="11">
        <v>8505</v>
      </c>
      <c r="BR62" s="99">
        <f t="shared" si="12"/>
        <v>1424030.6469999999</v>
      </c>
      <c r="BS62" s="99">
        <f t="shared" si="13"/>
        <v>3991025.8459999999</v>
      </c>
    </row>
    <row r="63" spans="1:71" x14ac:dyDescent="0.25">
      <c r="A63" s="11" t="s">
        <v>243</v>
      </c>
      <c r="B63" s="11">
        <v>50508</v>
      </c>
      <c r="C63" s="11">
        <v>91414</v>
      </c>
      <c r="D63" s="11"/>
      <c r="E63" s="11"/>
      <c r="F63" s="11"/>
      <c r="G63" s="11"/>
      <c r="H63" s="11"/>
      <c r="I63" s="11"/>
      <c r="J63" s="11">
        <v>35085</v>
      </c>
      <c r="K63" s="11">
        <v>72400</v>
      </c>
      <c r="L63" s="11">
        <v>54478</v>
      </c>
      <c r="M63" s="11">
        <v>111782</v>
      </c>
      <c r="N63" s="11">
        <v>19069</v>
      </c>
      <c r="O63" s="11">
        <v>38715</v>
      </c>
      <c r="P63" s="11"/>
      <c r="Q63" s="11"/>
      <c r="R63" s="11"/>
      <c r="S63" s="11"/>
      <c r="T63" s="11"/>
      <c r="U63" s="11"/>
      <c r="V63" s="11"/>
      <c r="W63" s="11"/>
      <c r="X63" s="11">
        <v>23777</v>
      </c>
      <c r="Y63" s="11">
        <v>38065</v>
      </c>
      <c r="Z63" s="11"/>
      <c r="AA63" s="11"/>
      <c r="AB63" s="11">
        <v>3640</v>
      </c>
      <c r="AC63" s="11">
        <v>9390</v>
      </c>
      <c r="AD63" s="11">
        <v>42462</v>
      </c>
      <c r="AE63" s="11">
        <v>143791</v>
      </c>
      <c r="AF63" s="11">
        <v>63015</v>
      </c>
      <c r="AG63" s="11">
        <v>145705</v>
      </c>
      <c r="AH63" s="11"/>
      <c r="AI63" s="11"/>
      <c r="AJ63" s="11">
        <v>23030</v>
      </c>
      <c r="AK63" s="11">
        <v>33563</v>
      </c>
      <c r="AL63" s="11">
        <v>-23</v>
      </c>
      <c r="AM63" s="11">
        <v>34</v>
      </c>
      <c r="AN63" s="11"/>
      <c r="AO63" s="11"/>
      <c r="AP63" s="11">
        <v>219232.88253750006</v>
      </c>
      <c r="AQ63" s="11">
        <v>373960.31053750002</v>
      </c>
      <c r="AR63" s="11">
        <v>1165858</v>
      </c>
      <c r="AS63" s="11">
        <v>2447640</v>
      </c>
      <c r="AT63" s="11">
        <v>49552</v>
      </c>
      <c r="AU63" s="11">
        <v>201515</v>
      </c>
      <c r="AV63" s="11">
        <v>2521</v>
      </c>
      <c r="AW63" s="11">
        <v>4647</v>
      </c>
      <c r="AX63" s="11">
        <v>77730</v>
      </c>
      <c r="AY63" s="11">
        <v>136937</v>
      </c>
      <c r="AZ63" s="11"/>
      <c r="BA63" s="11"/>
      <c r="BB63" s="11"/>
      <c r="BC63" s="11"/>
      <c r="BD63" s="11">
        <v>10120</v>
      </c>
      <c r="BE63" s="11">
        <v>19720</v>
      </c>
      <c r="BF63" s="11">
        <v>11338</v>
      </c>
      <c r="BG63" s="11">
        <v>21500</v>
      </c>
      <c r="BH63" s="11">
        <v>984</v>
      </c>
      <c r="BI63" s="11">
        <v>2439</v>
      </c>
      <c r="BJ63" s="11"/>
      <c r="BK63" s="11"/>
      <c r="BL63" s="11">
        <v>241736</v>
      </c>
      <c r="BM63" s="11">
        <v>487234</v>
      </c>
      <c r="BN63" s="11">
        <v>330600</v>
      </c>
      <c r="BO63" s="11">
        <v>490443</v>
      </c>
      <c r="BP63" s="11">
        <v>1635</v>
      </c>
      <c r="BQ63" s="11">
        <v>6440</v>
      </c>
      <c r="BR63" s="99">
        <f t="shared" si="12"/>
        <v>2426347.8825375</v>
      </c>
      <c r="BS63" s="99">
        <f t="shared" si="13"/>
        <v>4877334.3105375003</v>
      </c>
    </row>
    <row r="64" spans="1:71" x14ac:dyDescent="0.25">
      <c r="A64" s="11" t="s">
        <v>244</v>
      </c>
      <c r="B64" s="11">
        <v>37023</v>
      </c>
      <c r="C64" s="11">
        <v>69773</v>
      </c>
      <c r="D64" s="11"/>
      <c r="E64" s="11"/>
      <c r="F64" s="11"/>
      <c r="G64" s="11"/>
      <c r="H64" s="11"/>
      <c r="I64" s="11"/>
      <c r="J64" s="11">
        <v>37592</v>
      </c>
      <c r="K64" s="11">
        <v>68285</v>
      </c>
      <c r="L64" s="11">
        <v>50343</v>
      </c>
      <c r="M64" s="11">
        <v>88842</v>
      </c>
      <c r="N64" s="11">
        <v>22418</v>
      </c>
      <c r="O64" s="11">
        <v>34097</v>
      </c>
      <c r="P64" s="11"/>
      <c r="Q64" s="11"/>
      <c r="R64" s="11"/>
      <c r="S64" s="11"/>
      <c r="T64" s="11"/>
      <c r="U64" s="11"/>
      <c r="V64" s="11"/>
      <c r="W64" s="11"/>
      <c r="X64" s="11">
        <v>18098</v>
      </c>
      <c r="Y64" s="11">
        <v>34339</v>
      </c>
      <c r="Z64" s="11"/>
      <c r="AA64" s="11"/>
      <c r="AB64" s="11">
        <v>4379</v>
      </c>
      <c r="AC64" s="11">
        <v>8816</v>
      </c>
      <c r="AD64" s="11">
        <v>36169</v>
      </c>
      <c r="AE64" s="11">
        <v>116552</v>
      </c>
      <c r="AF64" s="11">
        <v>59738</v>
      </c>
      <c r="AG64" s="11">
        <v>113580</v>
      </c>
      <c r="AH64" s="11"/>
      <c r="AI64" s="11"/>
      <c r="AJ64" s="11">
        <v>16623</v>
      </c>
      <c r="AK64" s="11">
        <v>31200</v>
      </c>
      <c r="AL64" s="11">
        <v>-12</v>
      </c>
      <c r="AM64" s="11">
        <v>31</v>
      </c>
      <c r="AN64" s="11"/>
      <c r="AO64" s="11"/>
      <c r="AP64" s="11">
        <v>165152.97553750005</v>
      </c>
      <c r="AQ64" s="11">
        <v>295221.57953750005</v>
      </c>
      <c r="AR64" s="11">
        <v>1084142</v>
      </c>
      <c r="AS64" s="11">
        <v>2147000</v>
      </c>
      <c r="AT64" s="11">
        <v>84150</v>
      </c>
      <c r="AU64" s="11">
        <v>246798</v>
      </c>
      <c r="AV64" s="11">
        <v>2450</v>
      </c>
      <c r="AW64" s="11">
        <v>5096</v>
      </c>
      <c r="AX64" s="11">
        <v>36049</v>
      </c>
      <c r="AY64" s="11">
        <v>61238</v>
      </c>
      <c r="AZ64" s="11"/>
      <c r="BA64" s="11"/>
      <c r="BB64" s="11"/>
      <c r="BC64" s="11"/>
      <c r="BD64" s="11">
        <v>8243</v>
      </c>
      <c r="BE64" s="11">
        <v>16353</v>
      </c>
      <c r="BF64" s="11">
        <v>14208</v>
      </c>
      <c r="BG64" s="11">
        <v>26596</v>
      </c>
      <c r="BH64" s="11">
        <v>866</v>
      </c>
      <c r="BI64" s="11">
        <v>1653</v>
      </c>
      <c r="BJ64" s="11"/>
      <c r="BK64" s="11"/>
      <c r="BL64" s="11">
        <v>360716</v>
      </c>
      <c r="BM64" s="11">
        <v>735094</v>
      </c>
      <c r="BN64" s="11">
        <v>175750</v>
      </c>
      <c r="BO64" s="11">
        <v>522222</v>
      </c>
      <c r="BP64" s="11">
        <v>1666</v>
      </c>
      <c r="BQ64" s="11">
        <v>4626</v>
      </c>
      <c r="BR64" s="99">
        <f t="shared" si="12"/>
        <v>2215763.9755375003</v>
      </c>
      <c r="BS64" s="99">
        <f t="shared" si="13"/>
        <v>4627412.5795374997</v>
      </c>
    </row>
    <row r="66" spans="1:71" x14ac:dyDescent="0.25">
      <c r="A66" s="31" t="s">
        <v>237</v>
      </c>
    </row>
    <row r="67" spans="1:71" x14ac:dyDescent="0.25">
      <c r="A67" s="1" t="s">
        <v>0</v>
      </c>
      <c r="B67" s="105" t="s">
        <v>1</v>
      </c>
      <c r="C67" s="106"/>
      <c r="D67" s="105" t="s">
        <v>2</v>
      </c>
      <c r="E67" s="106"/>
      <c r="F67" s="105" t="s">
        <v>3</v>
      </c>
      <c r="G67" s="106"/>
      <c r="H67" s="105" t="s">
        <v>4</v>
      </c>
      <c r="I67" s="106"/>
      <c r="J67" s="105" t="s">
        <v>5</v>
      </c>
      <c r="K67" s="106"/>
      <c r="L67" s="105" t="s">
        <v>6</v>
      </c>
      <c r="M67" s="106"/>
      <c r="N67" s="105" t="s">
        <v>7</v>
      </c>
      <c r="O67" s="106"/>
      <c r="P67" s="105" t="s">
        <v>8</v>
      </c>
      <c r="Q67" s="106"/>
      <c r="R67" s="105" t="s">
        <v>9</v>
      </c>
      <c r="S67" s="106"/>
      <c r="T67" s="105" t="s">
        <v>10</v>
      </c>
      <c r="U67" s="106"/>
      <c r="V67" s="105" t="s">
        <v>11</v>
      </c>
      <c r="W67" s="106"/>
      <c r="X67" s="105" t="s">
        <v>12</v>
      </c>
      <c r="Y67" s="106"/>
      <c r="Z67" s="105" t="s">
        <v>13</v>
      </c>
      <c r="AA67" s="106"/>
      <c r="AB67" s="105" t="s">
        <v>14</v>
      </c>
      <c r="AC67" s="106"/>
      <c r="AD67" s="105" t="s">
        <v>15</v>
      </c>
      <c r="AE67" s="106"/>
      <c r="AF67" s="105" t="s">
        <v>16</v>
      </c>
      <c r="AG67" s="106"/>
      <c r="AH67" s="105" t="s">
        <v>17</v>
      </c>
      <c r="AI67" s="106"/>
      <c r="AJ67" s="105" t="s">
        <v>18</v>
      </c>
      <c r="AK67" s="106"/>
      <c r="AL67" s="105" t="s">
        <v>19</v>
      </c>
      <c r="AM67" s="106"/>
      <c r="AN67" s="105" t="s">
        <v>20</v>
      </c>
      <c r="AO67" s="106"/>
      <c r="AP67" s="105" t="s">
        <v>21</v>
      </c>
      <c r="AQ67" s="106"/>
      <c r="AR67" s="105" t="s">
        <v>22</v>
      </c>
      <c r="AS67" s="106"/>
      <c r="AT67" s="105" t="s">
        <v>23</v>
      </c>
      <c r="AU67" s="106"/>
      <c r="AV67" s="105" t="s">
        <v>24</v>
      </c>
      <c r="AW67" s="106"/>
      <c r="AX67" s="105" t="s">
        <v>25</v>
      </c>
      <c r="AY67" s="106"/>
      <c r="AZ67" s="105" t="s">
        <v>26</v>
      </c>
      <c r="BA67" s="106"/>
      <c r="BB67" s="105" t="s">
        <v>27</v>
      </c>
      <c r="BC67" s="106"/>
      <c r="BD67" s="105" t="s">
        <v>28</v>
      </c>
      <c r="BE67" s="106"/>
      <c r="BF67" s="105" t="s">
        <v>29</v>
      </c>
      <c r="BG67" s="106"/>
      <c r="BH67" s="105" t="s">
        <v>30</v>
      </c>
      <c r="BI67" s="106"/>
      <c r="BJ67" s="105" t="s">
        <v>31</v>
      </c>
      <c r="BK67" s="106"/>
      <c r="BL67" s="105" t="s">
        <v>32</v>
      </c>
      <c r="BM67" s="106"/>
      <c r="BN67" s="109" t="s">
        <v>33</v>
      </c>
      <c r="BO67" s="110"/>
      <c r="BP67" s="105" t="s">
        <v>34</v>
      </c>
      <c r="BQ67" s="106"/>
      <c r="BR67" s="107" t="s">
        <v>35</v>
      </c>
      <c r="BS67" s="108"/>
    </row>
    <row r="68" spans="1:71" ht="30" x14ac:dyDescent="0.25">
      <c r="A68" s="1"/>
      <c r="B68" s="76" t="s">
        <v>295</v>
      </c>
      <c r="C68" s="77" t="s">
        <v>296</v>
      </c>
      <c r="D68" s="76" t="s">
        <v>295</v>
      </c>
      <c r="E68" s="77" t="s">
        <v>296</v>
      </c>
      <c r="F68" s="76" t="s">
        <v>295</v>
      </c>
      <c r="G68" s="77" t="s">
        <v>296</v>
      </c>
      <c r="H68" s="76" t="s">
        <v>295</v>
      </c>
      <c r="I68" s="77" t="s">
        <v>296</v>
      </c>
      <c r="J68" s="76" t="s">
        <v>295</v>
      </c>
      <c r="K68" s="77" t="s">
        <v>296</v>
      </c>
      <c r="L68" s="76" t="s">
        <v>295</v>
      </c>
      <c r="M68" s="77" t="s">
        <v>296</v>
      </c>
      <c r="N68" s="76" t="s">
        <v>295</v>
      </c>
      <c r="O68" s="77" t="s">
        <v>296</v>
      </c>
      <c r="P68" s="76" t="s">
        <v>295</v>
      </c>
      <c r="Q68" s="77" t="s">
        <v>296</v>
      </c>
      <c r="R68" s="76" t="s">
        <v>295</v>
      </c>
      <c r="S68" s="77" t="s">
        <v>296</v>
      </c>
      <c r="T68" s="76" t="s">
        <v>295</v>
      </c>
      <c r="U68" s="77" t="s">
        <v>296</v>
      </c>
      <c r="V68" s="76" t="s">
        <v>295</v>
      </c>
      <c r="W68" s="77" t="s">
        <v>296</v>
      </c>
      <c r="X68" s="76" t="s">
        <v>295</v>
      </c>
      <c r="Y68" s="77" t="s">
        <v>296</v>
      </c>
      <c r="Z68" s="76" t="s">
        <v>295</v>
      </c>
      <c r="AA68" s="77" t="s">
        <v>296</v>
      </c>
      <c r="AB68" s="76" t="s">
        <v>295</v>
      </c>
      <c r="AC68" s="77" t="s">
        <v>296</v>
      </c>
      <c r="AD68" s="76" t="s">
        <v>295</v>
      </c>
      <c r="AE68" s="77" t="s">
        <v>296</v>
      </c>
      <c r="AF68" s="76" t="s">
        <v>295</v>
      </c>
      <c r="AG68" s="77" t="s">
        <v>296</v>
      </c>
      <c r="AH68" s="76" t="s">
        <v>295</v>
      </c>
      <c r="AI68" s="77" t="s">
        <v>296</v>
      </c>
      <c r="AJ68" s="76" t="s">
        <v>295</v>
      </c>
      <c r="AK68" s="77" t="s">
        <v>296</v>
      </c>
      <c r="AL68" s="76" t="s">
        <v>295</v>
      </c>
      <c r="AM68" s="77" t="s">
        <v>296</v>
      </c>
      <c r="AN68" s="76" t="s">
        <v>295</v>
      </c>
      <c r="AO68" s="77" t="s">
        <v>296</v>
      </c>
      <c r="AP68" s="76" t="s">
        <v>295</v>
      </c>
      <c r="AQ68" s="77" t="s">
        <v>296</v>
      </c>
      <c r="AR68" s="76" t="s">
        <v>295</v>
      </c>
      <c r="AS68" s="77" t="s">
        <v>296</v>
      </c>
      <c r="AT68" s="76" t="s">
        <v>295</v>
      </c>
      <c r="AU68" s="77" t="s">
        <v>296</v>
      </c>
      <c r="AV68" s="76" t="s">
        <v>295</v>
      </c>
      <c r="AW68" s="77" t="s">
        <v>296</v>
      </c>
      <c r="AX68" s="76" t="s">
        <v>295</v>
      </c>
      <c r="AY68" s="77" t="s">
        <v>296</v>
      </c>
      <c r="AZ68" s="76" t="s">
        <v>295</v>
      </c>
      <c r="BA68" s="77" t="s">
        <v>296</v>
      </c>
      <c r="BB68" s="76" t="s">
        <v>295</v>
      </c>
      <c r="BC68" s="77" t="s">
        <v>296</v>
      </c>
      <c r="BD68" s="76" t="s">
        <v>295</v>
      </c>
      <c r="BE68" s="77" t="s">
        <v>296</v>
      </c>
      <c r="BF68" s="76" t="s">
        <v>295</v>
      </c>
      <c r="BG68" s="77" t="s">
        <v>296</v>
      </c>
      <c r="BH68" s="76" t="s">
        <v>295</v>
      </c>
      <c r="BI68" s="77" t="s">
        <v>296</v>
      </c>
      <c r="BJ68" s="76" t="s">
        <v>295</v>
      </c>
      <c r="BK68" s="77" t="s">
        <v>296</v>
      </c>
      <c r="BL68" s="76" t="s">
        <v>295</v>
      </c>
      <c r="BM68" s="77" t="s">
        <v>296</v>
      </c>
      <c r="BN68" s="76" t="s">
        <v>295</v>
      </c>
      <c r="BO68" s="77" t="s">
        <v>296</v>
      </c>
      <c r="BP68" s="76" t="s">
        <v>295</v>
      </c>
      <c r="BQ68" s="77" t="s">
        <v>296</v>
      </c>
      <c r="BR68" s="95" t="s">
        <v>295</v>
      </c>
      <c r="BS68" s="96" t="s">
        <v>296</v>
      </c>
    </row>
    <row r="69" spans="1:71" x14ac:dyDescent="0.25">
      <c r="A69" s="11" t="s">
        <v>285</v>
      </c>
      <c r="B69" s="11"/>
      <c r="C69" s="11"/>
      <c r="D69" s="11"/>
      <c r="E69" s="11"/>
      <c r="F69" s="11"/>
      <c r="G69" s="11"/>
      <c r="H69" s="11"/>
      <c r="I69" s="11"/>
      <c r="J69" s="11">
        <v>9562</v>
      </c>
      <c r="K69" s="11">
        <v>34568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>
        <v>26799</v>
      </c>
      <c r="AC69" s="11">
        <v>68736</v>
      </c>
      <c r="AD69" s="11">
        <v>229889</v>
      </c>
      <c r="AE69" s="11">
        <v>448379</v>
      </c>
      <c r="AF69" s="11">
        <v>855</v>
      </c>
      <c r="AG69" s="11">
        <v>1619</v>
      </c>
      <c r="AH69" s="11"/>
      <c r="AI69" s="11"/>
      <c r="AJ69" s="11"/>
      <c r="AK69" s="11"/>
      <c r="AL69" s="11"/>
      <c r="AM69" s="11"/>
      <c r="AN69" s="11"/>
      <c r="AO69" s="11"/>
      <c r="AP69" s="11">
        <v>216196.03545067197</v>
      </c>
      <c r="AQ69" s="11">
        <v>535144.30438305601</v>
      </c>
      <c r="AR69" s="11">
        <v>734502</v>
      </c>
      <c r="AS69" s="11">
        <v>1201363</v>
      </c>
      <c r="AT69" s="11">
        <v>207221</v>
      </c>
      <c r="AU69" s="11">
        <v>363867</v>
      </c>
      <c r="AV69" s="11"/>
      <c r="AW69" s="11"/>
      <c r="AX69" s="11">
        <v>47331</v>
      </c>
      <c r="AY69" s="11">
        <v>111052</v>
      </c>
      <c r="AZ69" s="11"/>
      <c r="BA69" s="11"/>
      <c r="BB69" s="11"/>
      <c r="BC69" s="11"/>
      <c r="BD69" s="11"/>
      <c r="BE69" s="11"/>
      <c r="BF69" s="11">
        <v>335</v>
      </c>
      <c r="BG69" s="11">
        <v>335</v>
      </c>
      <c r="BH69" s="11"/>
      <c r="BI69" s="11"/>
      <c r="BJ69" s="11"/>
      <c r="BK69" s="11"/>
      <c r="BL69" s="11"/>
      <c r="BM69" s="11"/>
      <c r="BN69" s="11">
        <v>149325</v>
      </c>
      <c r="BO69" s="11">
        <v>313955</v>
      </c>
      <c r="BP69" s="11"/>
      <c r="BQ69" s="11"/>
      <c r="BR69" s="99">
        <f t="shared" ref="BR69:BR73" si="14">SUM(B69+D69+F69+H69+J69+L69+N69+P69+R69+T69+V69+X69+Z69+AB69+AD69+AF69+AH69+AJ69+AL69+AN69+AP69+AR69+AT69+AV69+AX69+AZ69+BB69+BD69+BF69+BH69+BJ69+BL69+BN69+BP69)</f>
        <v>1622015.035450672</v>
      </c>
      <c r="BS69" s="99">
        <f t="shared" ref="BS69:BS73" si="15">SUM(C69+E69+G69+I69+K69+M69+O69+Q69+S69+U69+W69+Y69+AA69+AC69+AE69+AG69+AI69+AK69+AM69+AO69+AQ69+AS69+AU69+AW69+AY69+BA69+BC69+BE69+BG69+BI69+BK69+BM69+BO69+BQ69)</f>
        <v>3079018.3043830562</v>
      </c>
    </row>
    <row r="70" spans="1:71" x14ac:dyDescent="0.25">
      <c r="A70" s="11" t="s">
        <v>288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>
        <v>15982</v>
      </c>
      <c r="AE70" s="11">
        <v>35786</v>
      </c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>
        <v>230912.83980000002</v>
      </c>
      <c r="AQ70" s="11">
        <v>360302.92680000002</v>
      </c>
      <c r="AR70" s="11">
        <v>185773</v>
      </c>
      <c r="AS70" s="11">
        <v>522857</v>
      </c>
      <c r="AT70" s="11">
        <v>208123</v>
      </c>
      <c r="AU70" s="11">
        <v>414791</v>
      </c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>
        <v>22790</v>
      </c>
      <c r="BO70" s="11">
        <v>348675</v>
      </c>
      <c r="BP70" s="11"/>
      <c r="BQ70" s="11"/>
      <c r="BR70" s="99">
        <f t="shared" si="14"/>
        <v>663580.83979999996</v>
      </c>
      <c r="BS70" s="99">
        <f t="shared" si="15"/>
        <v>1682411.9268</v>
      </c>
    </row>
    <row r="71" spans="1:71" x14ac:dyDescent="0.25">
      <c r="A71" s="11" t="s">
        <v>289</v>
      </c>
      <c r="B71" s="11"/>
      <c r="C71" s="11"/>
      <c r="D71" s="11"/>
      <c r="E71" s="11"/>
      <c r="F71" s="11"/>
      <c r="G71" s="11"/>
      <c r="H71" s="11"/>
      <c r="I71" s="11"/>
      <c r="J71" s="11">
        <v>8989</v>
      </c>
      <c r="K71" s="11">
        <v>32327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>
        <v>-26695</v>
      </c>
      <c r="AC71" s="11">
        <v>-68660</v>
      </c>
      <c r="AD71" s="11">
        <v>212556</v>
      </c>
      <c r="AE71" s="11">
        <v>425750</v>
      </c>
      <c r="AF71" s="11">
        <v>725</v>
      </c>
      <c r="AG71" s="11">
        <v>1214</v>
      </c>
      <c r="AH71" s="11"/>
      <c r="AI71" s="11"/>
      <c r="AJ71" s="11"/>
      <c r="AK71" s="11"/>
      <c r="AL71" s="11"/>
      <c r="AM71" s="11"/>
      <c r="AN71" s="11"/>
      <c r="AO71" s="11"/>
      <c r="AP71" s="11">
        <v>217709.52162347699</v>
      </c>
      <c r="AQ71" s="11">
        <v>488117.58762347698</v>
      </c>
      <c r="AR71" s="11">
        <v>477951</v>
      </c>
      <c r="AS71" s="11">
        <v>872693</v>
      </c>
      <c r="AT71" s="11">
        <v>307599</v>
      </c>
      <c r="AU71" s="11">
        <v>534775</v>
      </c>
      <c r="AV71" s="11"/>
      <c r="AW71" s="11"/>
      <c r="AX71" s="11">
        <v>47294</v>
      </c>
      <c r="AY71" s="11">
        <v>110953</v>
      </c>
      <c r="AZ71" s="11"/>
      <c r="BA71" s="11"/>
      <c r="BB71" s="11"/>
      <c r="BC71" s="11"/>
      <c r="BD71" s="11"/>
      <c r="BE71" s="11"/>
      <c r="BF71" s="11">
        <v>333</v>
      </c>
      <c r="BG71" s="11">
        <v>333</v>
      </c>
      <c r="BH71" s="11"/>
      <c r="BI71" s="11"/>
      <c r="BJ71" s="11"/>
      <c r="BK71" s="11"/>
      <c r="BL71" s="11"/>
      <c r="BM71" s="11"/>
      <c r="BN71" s="11">
        <v>226226</v>
      </c>
      <c r="BO71" s="11">
        <v>415763</v>
      </c>
      <c r="BP71" s="11"/>
      <c r="BQ71" s="11"/>
      <c r="BR71" s="99">
        <f t="shared" si="14"/>
        <v>1472687.5216234769</v>
      </c>
      <c r="BS71" s="99">
        <f t="shared" si="15"/>
        <v>2813265.587623477</v>
      </c>
    </row>
    <row r="72" spans="1:71" x14ac:dyDescent="0.25">
      <c r="A72" s="11" t="s">
        <v>243</v>
      </c>
      <c r="B72" s="11"/>
      <c r="C72" s="11"/>
      <c r="D72" s="11"/>
      <c r="E72" s="11"/>
      <c r="F72" s="11"/>
      <c r="G72" s="11"/>
      <c r="H72" s="11"/>
      <c r="I72" s="11"/>
      <c r="J72" s="11">
        <v>573</v>
      </c>
      <c r="K72" s="11">
        <v>2241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>
        <v>104</v>
      </c>
      <c r="AC72" s="11">
        <v>76</v>
      </c>
      <c r="AD72" s="11">
        <v>33315</v>
      </c>
      <c r="AE72" s="11">
        <v>58415</v>
      </c>
      <c r="AF72" s="11">
        <v>130</v>
      </c>
      <c r="AG72" s="11">
        <v>405</v>
      </c>
      <c r="AH72" s="11"/>
      <c r="AI72" s="11"/>
      <c r="AJ72" s="11"/>
      <c r="AK72" s="11"/>
      <c r="AL72" s="11"/>
      <c r="AM72" s="11"/>
      <c r="AN72" s="11"/>
      <c r="AO72" s="11"/>
      <c r="AP72" s="11">
        <v>229399.353627195</v>
      </c>
      <c r="AQ72" s="11">
        <v>407329.64355957904</v>
      </c>
      <c r="AR72" s="11">
        <v>442324</v>
      </c>
      <c r="AS72" s="11">
        <v>851527</v>
      </c>
      <c r="AT72" s="11">
        <v>107745</v>
      </c>
      <c r="AU72" s="11">
        <v>243883</v>
      </c>
      <c r="AV72" s="11"/>
      <c r="AW72" s="11"/>
      <c r="AX72" s="11">
        <v>37</v>
      </c>
      <c r="AY72" s="11">
        <v>99</v>
      </c>
      <c r="AZ72" s="11"/>
      <c r="BA72" s="11"/>
      <c r="BB72" s="11"/>
      <c r="BC72" s="11"/>
      <c r="BD72" s="11"/>
      <c r="BE72" s="11"/>
      <c r="BF72" s="11">
        <v>2</v>
      </c>
      <c r="BG72" s="11">
        <v>2</v>
      </c>
      <c r="BH72" s="11"/>
      <c r="BI72" s="11"/>
      <c r="BJ72" s="11"/>
      <c r="BK72" s="11"/>
      <c r="BL72" s="11"/>
      <c r="BM72" s="11"/>
      <c r="BN72" s="11">
        <v>-54111</v>
      </c>
      <c r="BO72" s="11">
        <v>246867</v>
      </c>
      <c r="BP72" s="11"/>
      <c r="BQ72" s="11"/>
      <c r="BR72" s="99">
        <f t="shared" si="14"/>
        <v>759518.353627195</v>
      </c>
      <c r="BS72" s="99">
        <f t="shared" si="15"/>
        <v>1810844.643559579</v>
      </c>
    </row>
    <row r="73" spans="1:71" x14ac:dyDescent="0.25">
      <c r="A73" s="11" t="s">
        <v>244</v>
      </c>
      <c r="B73" s="11"/>
      <c r="C73" s="11"/>
      <c r="D73" s="11"/>
      <c r="E73" s="11"/>
      <c r="F73" s="11"/>
      <c r="G73" s="11"/>
      <c r="H73" s="11"/>
      <c r="I73" s="11"/>
      <c r="J73" s="11">
        <v>24415</v>
      </c>
      <c r="K73" s="11">
        <v>48357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>
        <v>115</v>
      </c>
      <c r="AC73" s="11">
        <v>220</v>
      </c>
      <c r="AD73" s="11">
        <v>31232</v>
      </c>
      <c r="AE73" s="11">
        <v>54546</v>
      </c>
      <c r="AF73" s="11">
        <v>85</v>
      </c>
      <c r="AG73" s="11">
        <v>432</v>
      </c>
      <c r="AH73" s="11"/>
      <c r="AI73" s="11"/>
      <c r="AJ73" s="11"/>
      <c r="AK73" s="11"/>
      <c r="AL73" s="11"/>
      <c r="AM73" s="11"/>
      <c r="AN73" s="11"/>
      <c r="AO73" s="11"/>
      <c r="AP73" s="11">
        <v>292311.73862719501</v>
      </c>
      <c r="AQ73" s="11">
        <v>365606.56655957905</v>
      </c>
      <c r="AR73" s="11">
        <v>362720</v>
      </c>
      <c r="AS73" s="11">
        <v>765419</v>
      </c>
      <c r="AT73" s="11">
        <v>110520</v>
      </c>
      <c r="AU73" s="11">
        <v>245597</v>
      </c>
      <c r="AV73" s="11"/>
      <c r="AW73" s="11"/>
      <c r="AX73" s="11">
        <v>121</v>
      </c>
      <c r="AY73" s="11">
        <v>283</v>
      </c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>
        <v>-33881</v>
      </c>
      <c r="BO73" s="11">
        <v>93720</v>
      </c>
      <c r="BP73" s="11"/>
      <c r="BQ73" s="11"/>
      <c r="BR73" s="99">
        <f t="shared" si="14"/>
        <v>787638.73862719501</v>
      </c>
      <c r="BS73" s="99">
        <f t="shared" si="15"/>
        <v>1574180.566559579</v>
      </c>
    </row>
    <row r="75" spans="1:71" x14ac:dyDescent="0.25">
      <c r="A75" s="31" t="s">
        <v>238</v>
      </c>
    </row>
    <row r="76" spans="1:71" x14ac:dyDescent="0.25">
      <c r="A76" s="1" t="s">
        <v>0</v>
      </c>
      <c r="B76" s="105" t="s">
        <v>1</v>
      </c>
      <c r="C76" s="106"/>
      <c r="D76" s="105" t="s">
        <v>2</v>
      </c>
      <c r="E76" s="106"/>
      <c r="F76" s="105" t="s">
        <v>3</v>
      </c>
      <c r="G76" s="106"/>
      <c r="H76" s="105" t="s">
        <v>4</v>
      </c>
      <c r="I76" s="106"/>
      <c r="J76" s="105" t="s">
        <v>5</v>
      </c>
      <c r="K76" s="106"/>
      <c r="L76" s="105" t="s">
        <v>6</v>
      </c>
      <c r="M76" s="106"/>
      <c r="N76" s="105" t="s">
        <v>7</v>
      </c>
      <c r="O76" s="106"/>
      <c r="P76" s="105" t="s">
        <v>8</v>
      </c>
      <c r="Q76" s="106"/>
      <c r="R76" s="105" t="s">
        <v>9</v>
      </c>
      <c r="S76" s="106"/>
      <c r="T76" s="105" t="s">
        <v>10</v>
      </c>
      <c r="U76" s="106"/>
      <c r="V76" s="105" t="s">
        <v>11</v>
      </c>
      <c r="W76" s="106"/>
      <c r="X76" s="105" t="s">
        <v>12</v>
      </c>
      <c r="Y76" s="106"/>
      <c r="Z76" s="105" t="s">
        <v>13</v>
      </c>
      <c r="AA76" s="106"/>
      <c r="AB76" s="105" t="s">
        <v>14</v>
      </c>
      <c r="AC76" s="106"/>
      <c r="AD76" s="105" t="s">
        <v>15</v>
      </c>
      <c r="AE76" s="106"/>
      <c r="AF76" s="105" t="s">
        <v>16</v>
      </c>
      <c r="AG76" s="106"/>
      <c r="AH76" s="105" t="s">
        <v>17</v>
      </c>
      <c r="AI76" s="106"/>
      <c r="AJ76" s="105" t="s">
        <v>18</v>
      </c>
      <c r="AK76" s="106"/>
      <c r="AL76" s="105" t="s">
        <v>19</v>
      </c>
      <c r="AM76" s="106"/>
      <c r="AN76" s="105" t="s">
        <v>20</v>
      </c>
      <c r="AO76" s="106"/>
      <c r="AP76" s="105" t="s">
        <v>21</v>
      </c>
      <c r="AQ76" s="106"/>
      <c r="AR76" s="105" t="s">
        <v>22</v>
      </c>
      <c r="AS76" s="106"/>
      <c r="AT76" s="105" t="s">
        <v>23</v>
      </c>
      <c r="AU76" s="106"/>
      <c r="AV76" s="105" t="s">
        <v>24</v>
      </c>
      <c r="AW76" s="106"/>
      <c r="AX76" s="105" t="s">
        <v>25</v>
      </c>
      <c r="AY76" s="106"/>
      <c r="AZ76" s="105" t="s">
        <v>26</v>
      </c>
      <c r="BA76" s="106"/>
      <c r="BB76" s="105" t="s">
        <v>27</v>
      </c>
      <c r="BC76" s="106"/>
      <c r="BD76" s="105" t="s">
        <v>28</v>
      </c>
      <c r="BE76" s="106"/>
      <c r="BF76" s="105" t="s">
        <v>29</v>
      </c>
      <c r="BG76" s="106"/>
      <c r="BH76" s="105" t="s">
        <v>30</v>
      </c>
      <c r="BI76" s="106"/>
      <c r="BJ76" s="105" t="s">
        <v>31</v>
      </c>
      <c r="BK76" s="106"/>
      <c r="BL76" s="105" t="s">
        <v>32</v>
      </c>
      <c r="BM76" s="106"/>
      <c r="BN76" s="109" t="s">
        <v>33</v>
      </c>
      <c r="BO76" s="110"/>
      <c r="BP76" s="105" t="s">
        <v>34</v>
      </c>
      <c r="BQ76" s="106"/>
      <c r="BR76" s="107" t="s">
        <v>35</v>
      </c>
      <c r="BS76" s="108"/>
    </row>
    <row r="77" spans="1:71" ht="30" x14ac:dyDescent="0.25">
      <c r="A77" s="1"/>
      <c r="B77" s="76" t="s">
        <v>295</v>
      </c>
      <c r="C77" s="77" t="s">
        <v>296</v>
      </c>
      <c r="D77" s="76" t="s">
        <v>295</v>
      </c>
      <c r="E77" s="77" t="s">
        <v>296</v>
      </c>
      <c r="F77" s="76" t="s">
        <v>295</v>
      </c>
      <c r="G77" s="77" t="s">
        <v>296</v>
      </c>
      <c r="H77" s="76" t="s">
        <v>295</v>
      </c>
      <c r="I77" s="77" t="s">
        <v>296</v>
      </c>
      <c r="J77" s="76" t="s">
        <v>295</v>
      </c>
      <c r="K77" s="77" t="s">
        <v>296</v>
      </c>
      <c r="L77" s="76" t="s">
        <v>295</v>
      </c>
      <c r="M77" s="77" t="s">
        <v>296</v>
      </c>
      <c r="N77" s="76" t="s">
        <v>295</v>
      </c>
      <c r="O77" s="77" t="s">
        <v>296</v>
      </c>
      <c r="P77" s="76" t="s">
        <v>295</v>
      </c>
      <c r="Q77" s="77" t="s">
        <v>296</v>
      </c>
      <c r="R77" s="76" t="s">
        <v>295</v>
      </c>
      <c r="S77" s="77" t="s">
        <v>296</v>
      </c>
      <c r="T77" s="76" t="s">
        <v>295</v>
      </c>
      <c r="U77" s="77" t="s">
        <v>296</v>
      </c>
      <c r="V77" s="76" t="s">
        <v>295</v>
      </c>
      <c r="W77" s="77" t="s">
        <v>296</v>
      </c>
      <c r="X77" s="76" t="s">
        <v>295</v>
      </c>
      <c r="Y77" s="77" t="s">
        <v>296</v>
      </c>
      <c r="Z77" s="76" t="s">
        <v>295</v>
      </c>
      <c r="AA77" s="77" t="s">
        <v>296</v>
      </c>
      <c r="AB77" s="76" t="s">
        <v>295</v>
      </c>
      <c r="AC77" s="77" t="s">
        <v>296</v>
      </c>
      <c r="AD77" s="76" t="s">
        <v>295</v>
      </c>
      <c r="AE77" s="77" t="s">
        <v>296</v>
      </c>
      <c r="AF77" s="76" t="s">
        <v>295</v>
      </c>
      <c r="AG77" s="77" t="s">
        <v>296</v>
      </c>
      <c r="AH77" s="76" t="s">
        <v>295</v>
      </c>
      <c r="AI77" s="77" t="s">
        <v>296</v>
      </c>
      <c r="AJ77" s="76" t="s">
        <v>295</v>
      </c>
      <c r="AK77" s="77" t="s">
        <v>296</v>
      </c>
      <c r="AL77" s="76" t="s">
        <v>295</v>
      </c>
      <c r="AM77" s="77" t="s">
        <v>296</v>
      </c>
      <c r="AN77" s="76" t="s">
        <v>295</v>
      </c>
      <c r="AO77" s="77" t="s">
        <v>296</v>
      </c>
      <c r="AP77" s="76" t="s">
        <v>295</v>
      </c>
      <c r="AQ77" s="77" t="s">
        <v>296</v>
      </c>
      <c r="AR77" s="76" t="s">
        <v>295</v>
      </c>
      <c r="AS77" s="77" t="s">
        <v>296</v>
      </c>
      <c r="AT77" s="76" t="s">
        <v>295</v>
      </c>
      <c r="AU77" s="77" t="s">
        <v>296</v>
      </c>
      <c r="AV77" s="76" t="s">
        <v>295</v>
      </c>
      <c r="AW77" s="77" t="s">
        <v>296</v>
      </c>
      <c r="AX77" s="76" t="s">
        <v>295</v>
      </c>
      <c r="AY77" s="77" t="s">
        <v>296</v>
      </c>
      <c r="AZ77" s="76" t="s">
        <v>295</v>
      </c>
      <c r="BA77" s="77" t="s">
        <v>296</v>
      </c>
      <c r="BB77" s="76" t="s">
        <v>295</v>
      </c>
      <c r="BC77" s="77" t="s">
        <v>296</v>
      </c>
      <c r="BD77" s="76" t="s">
        <v>295</v>
      </c>
      <c r="BE77" s="77" t="s">
        <v>296</v>
      </c>
      <c r="BF77" s="76" t="s">
        <v>295</v>
      </c>
      <c r="BG77" s="77" t="s">
        <v>296</v>
      </c>
      <c r="BH77" s="76" t="s">
        <v>295</v>
      </c>
      <c r="BI77" s="77" t="s">
        <v>296</v>
      </c>
      <c r="BJ77" s="76" t="s">
        <v>295</v>
      </c>
      <c r="BK77" s="77" t="s">
        <v>296</v>
      </c>
      <c r="BL77" s="76" t="s">
        <v>295</v>
      </c>
      <c r="BM77" s="77" t="s">
        <v>296</v>
      </c>
      <c r="BN77" s="76" t="s">
        <v>295</v>
      </c>
      <c r="BO77" s="77" t="s">
        <v>296</v>
      </c>
      <c r="BP77" s="76" t="s">
        <v>295</v>
      </c>
      <c r="BQ77" s="77" t="s">
        <v>296</v>
      </c>
      <c r="BR77" s="95" t="s">
        <v>295</v>
      </c>
      <c r="BS77" s="96" t="s">
        <v>296</v>
      </c>
    </row>
    <row r="78" spans="1:71" x14ac:dyDescent="0.25">
      <c r="A78" s="11" t="s">
        <v>285</v>
      </c>
      <c r="B78" s="11">
        <f t="shared" ref="B78:AI78" si="16">B87-B69-B60-B51-B42-B33-B24-B15-B6</f>
        <v>0</v>
      </c>
      <c r="C78" s="11">
        <f t="shared" si="16"/>
        <v>0</v>
      </c>
      <c r="D78" s="11">
        <f t="shared" si="16"/>
        <v>0</v>
      </c>
      <c r="E78" s="11">
        <f t="shared" si="16"/>
        <v>0</v>
      </c>
      <c r="F78" s="11">
        <f t="shared" si="16"/>
        <v>62809407</v>
      </c>
      <c r="G78" s="11">
        <f t="shared" si="16"/>
        <v>63786155</v>
      </c>
      <c r="H78" s="11">
        <f t="shared" si="16"/>
        <v>82412</v>
      </c>
      <c r="I78" s="11">
        <f t="shared" si="16"/>
        <v>201428</v>
      </c>
      <c r="J78" s="11">
        <f t="shared" si="16"/>
        <v>19711730</v>
      </c>
      <c r="K78" s="11">
        <f t="shared" si="16"/>
        <v>23671853</v>
      </c>
      <c r="L78" s="11">
        <f t="shared" si="16"/>
        <v>4738257</v>
      </c>
      <c r="M78" s="11">
        <f t="shared" si="16"/>
        <v>4849039</v>
      </c>
      <c r="N78" s="11">
        <f t="shared" si="16"/>
        <v>97714</v>
      </c>
      <c r="O78" s="11">
        <f t="shared" si="16"/>
        <v>245959</v>
      </c>
      <c r="P78" s="11">
        <f t="shared" si="16"/>
        <v>0</v>
      </c>
      <c r="Q78" s="11">
        <f t="shared" si="16"/>
        <v>0</v>
      </c>
      <c r="R78" s="11">
        <f t="shared" si="16"/>
        <v>18349</v>
      </c>
      <c r="S78" s="11">
        <f t="shared" si="16"/>
        <v>20665</v>
      </c>
      <c r="T78" s="11">
        <f t="shared" si="16"/>
        <v>24</v>
      </c>
      <c r="U78" s="11">
        <f t="shared" ref="U78" si="17">U87-U69-U60-U51-U42-U33-U24-U15-U6</f>
        <v>522</v>
      </c>
      <c r="V78" s="11">
        <f t="shared" si="16"/>
        <v>2662442.2599999998</v>
      </c>
      <c r="W78" s="11">
        <f t="shared" si="16"/>
        <v>5251356.17</v>
      </c>
      <c r="X78" s="11">
        <f t="shared" si="16"/>
        <v>3451318</v>
      </c>
      <c r="Y78" s="11">
        <f t="shared" si="16"/>
        <v>3861241</v>
      </c>
      <c r="Z78" s="11">
        <f t="shared" si="16"/>
        <v>53122</v>
      </c>
      <c r="AA78" s="11">
        <f t="shared" si="16"/>
        <v>91672</v>
      </c>
      <c r="AB78" s="11">
        <f t="shared" si="16"/>
        <v>17011718</v>
      </c>
      <c r="AC78" s="11">
        <f t="shared" si="16"/>
        <v>18322940</v>
      </c>
      <c r="AD78" s="11">
        <f t="shared" si="16"/>
        <v>2490980</v>
      </c>
      <c r="AE78" s="11">
        <f t="shared" si="16"/>
        <v>4596810</v>
      </c>
      <c r="AF78" s="11">
        <f t="shared" si="16"/>
        <v>8753772</v>
      </c>
      <c r="AG78" s="11">
        <f t="shared" si="16"/>
        <v>11996246</v>
      </c>
      <c r="AH78" s="11">
        <f t="shared" si="16"/>
        <v>41502</v>
      </c>
      <c r="AI78" s="11">
        <f t="shared" si="16"/>
        <v>62939</v>
      </c>
      <c r="AJ78" s="11">
        <f t="shared" ref="AJ78" si="18">AJ87-AJ69-AJ60-AJ51-AJ42-AJ33-AJ24-AJ15-AJ6</f>
        <v>140778</v>
      </c>
      <c r="AK78" s="11">
        <f t="shared" ref="AK78:BQ78" si="19">AK87-AK69-AK60-AK51-AK42-AK33-AK24-AK15-AK6</f>
        <v>353977</v>
      </c>
      <c r="AL78" s="11">
        <f t="shared" si="19"/>
        <v>50841</v>
      </c>
      <c r="AM78" s="11">
        <f t="shared" si="19"/>
        <v>89159</v>
      </c>
      <c r="AN78" s="11">
        <f t="shared" si="19"/>
        <v>0</v>
      </c>
      <c r="AO78" s="11">
        <f t="shared" si="19"/>
        <v>0</v>
      </c>
      <c r="AP78" s="11">
        <f t="shared" si="19"/>
        <v>7110737.0465525361</v>
      </c>
      <c r="AQ78" s="11">
        <f t="shared" si="19"/>
        <v>8360977.6938575441</v>
      </c>
      <c r="AR78" s="11">
        <f t="shared" si="19"/>
        <v>16118979</v>
      </c>
      <c r="AS78" s="11">
        <f t="shared" si="19"/>
        <v>19445035</v>
      </c>
      <c r="AT78" s="11">
        <f t="shared" si="19"/>
        <v>8076539</v>
      </c>
      <c r="AU78" s="11">
        <f t="shared" si="19"/>
        <v>15541363</v>
      </c>
      <c r="AV78" s="11">
        <f t="shared" si="19"/>
        <v>130457</v>
      </c>
      <c r="AW78" s="11">
        <f t="shared" si="19"/>
        <v>256314</v>
      </c>
      <c r="AX78" s="11">
        <f t="shared" si="19"/>
        <v>9922120</v>
      </c>
      <c r="AY78" s="11">
        <f t="shared" si="19"/>
        <v>11651343</v>
      </c>
      <c r="AZ78" s="11">
        <f t="shared" si="19"/>
        <v>0</v>
      </c>
      <c r="BA78" s="11">
        <f t="shared" si="19"/>
        <v>0</v>
      </c>
      <c r="BB78" s="11">
        <f t="shared" si="19"/>
        <v>0</v>
      </c>
      <c r="BC78" s="11">
        <f t="shared" si="19"/>
        <v>0</v>
      </c>
      <c r="BD78" s="11">
        <f t="shared" si="19"/>
        <v>3661718</v>
      </c>
      <c r="BE78" s="11">
        <f t="shared" si="19"/>
        <v>3748285</v>
      </c>
      <c r="BF78" s="11">
        <f t="shared" si="19"/>
        <v>8729126</v>
      </c>
      <c r="BG78" s="11">
        <f t="shared" si="19"/>
        <v>13105021</v>
      </c>
      <c r="BH78" s="11">
        <f t="shared" si="19"/>
        <v>37272</v>
      </c>
      <c r="BI78" s="11">
        <f t="shared" si="19"/>
        <v>69620</v>
      </c>
      <c r="BJ78" s="11">
        <f t="shared" si="19"/>
        <v>15747235</v>
      </c>
      <c r="BK78" s="11">
        <f t="shared" si="19"/>
        <v>27355875</v>
      </c>
      <c r="BL78" s="11">
        <f t="shared" si="19"/>
        <v>1208584</v>
      </c>
      <c r="BM78" s="11">
        <f t="shared" si="19"/>
        <v>4448186</v>
      </c>
      <c r="BN78" s="11">
        <f t="shared" si="19"/>
        <v>9260489</v>
      </c>
      <c r="BO78" s="11">
        <f t="shared" si="19"/>
        <v>10809740</v>
      </c>
      <c r="BP78" s="11">
        <f t="shared" si="19"/>
        <v>5744657</v>
      </c>
      <c r="BQ78" s="11">
        <f t="shared" si="19"/>
        <v>6139556</v>
      </c>
      <c r="BR78" s="99">
        <f t="shared" ref="BR78:BR82" si="20">SUM(B78+D78+F78+H78+J78+L78+N78+P78+R78+T78+V78+X78+Z78+AB78+AD78+AF78+AH78+AJ78+AL78+AN78+AP78+AR78+AT78+AV78+AX78+AZ78+BB78+BD78+BF78+BH78+BJ78+BL78+BN78+BP78)</f>
        <v>207862279.30655253</v>
      </c>
      <c r="BS78" s="99">
        <f t="shared" ref="BS78:BS82" si="21">SUM(C78+E78+G78+I78+K78+M78+O78+Q78+S78+U78+W78+Y78+AA78+AC78+AE78+AG78+AI78+AK78+AM78+AO78+AQ78+AS78+AU78+AW78+AY78+BA78+BC78+BE78+BG78+BI78+BK78+BM78+BO78+BQ78)</f>
        <v>258333276.86385757</v>
      </c>
    </row>
    <row r="79" spans="1:71" x14ac:dyDescent="0.25">
      <c r="A79" s="11" t="s">
        <v>288</v>
      </c>
      <c r="B79" s="11">
        <f t="shared" ref="B79:AI79" si="22">B88-B70-B61-B52-B43-B34-B25-B16-B7</f>
        <v>0</v>
      </c>
      <c r="C79" s="11">
        <f t="shared" si="22"/>
        <v>0</v>
      </c>
      <c r="D79" s="11">
        <f t="shared" si="22"/>
        <v>0</v>
      </c>
      <c r="E79" s="11">
        <f t="shared" si="22"/>
        <v>0</v>
      </c>
      <c r="F79" s="11">
        <f t="shared" si="22"/>
        <v>-215</v>
      </c>
      <c r="G79" s="11">
        <f t="shared" si="22"/>
        <v>-215</v>
      </c>
      <c r="H79" s="11">
        <f t="shared" si="22"/>
        <v>0</v>
      </c>
      <c r="I79" s="11">
        <f t="shared" si="22"/>
        <v>0</v>
      </c>
      <c r="J79" s="11">
        <f t="shared" si="22"/>
        <v>1247</v>
      </c>
      <c r="K79" s="11">
        <f t="shared" si="22"/>
        <v>1617</v>
      </c>
      <c r="L79" s="11">
        <f t="shared" si="22"/>
        <v>-1</v>
      </c>
      <c r="M79" s="11">
        <f t="shared" si="22"/>
        <v>0</v>
      </c>
      <c r="N79" s="11">
        <f t="shared" si="22"/>
        <v>0</v>
      </c>
      <c r="O79" s="11">
        <f t="shared" si="22"/>
        <v>0</v>
      </c>
      <c r="P79" s="11">
        <f t="shared" si="22"/>
        <v>0</v>
      </c>
      <c r="Q79" s="11">
        <f t="shared" si="22"/>
        <v>0</v>
      </c>
      <c r="R79" s="11">
        <f t="shared" si="22"/>
        <v>0</v>
      </c>
      <c r="S79" s="11">
        <f t="shared" si="22"/>
        <v>0</v>
      </c>
      <c r="T79" s="11">
        <f t="shared" si="22"/>
        <v>1</v>
      </c>
      <c r="U79" s="11">
        <f t="shared" ref="U79" si="23">U88-U70-U61-U52-U43-U34-U25-U16-U7</f>
        <v>1</v>
      </c>
      <c r="V79" s="11">
        <f t="shared" si="22"/>
        <v>0</v>
      </c>
      <c r="W79" s="11">
        <f t="shared" si="22"/>
        <v>0</v>
      </c>
      <c r="X79" s="11">
        <f t="shared" si="22"/>
        <v>4400</v>
      </c>
      <c r="Y79" s="11">
        <f t="shared" si="22"/>
        <v>4400</v>
      </c>
      <c r="Z79" s="11">
        <f t="shared" si="22"/>
        <v>6844</v>
      </c>
      <c r="AA79" s="11">
        <f t="shared" si="22"/>
        <v>11533</v>
      </c>
      <c r="AB79" s="11">
        <f t="shared" si="22"/>
        <v>46730</v>
      </c>
      <c r="AC79" s="11">
        <f t="shared" si="22"/>
        <v>116326</v>
      </c>
      <c r="AD79" s="11">
        <f t="shared" si="22"/>
        <v>81931</v>
      </c>
      <c r="AE79" s="11">
        <f t="shared" si="22"/>
        <v>99642</v>
      </c>
      <c r="AF79" s="11">
        <f t="shared" si="22"/>
        <v>9266</v>
      </c>
      <c r="AG79" s="11">
        <f t="shared" si="22"/>
        <v>16840</v>
      </c>
      <c r="AH79" s="11">
        <f t="shared" si="22"/>
        <v>0</v>
      </c>
      <c r="AI79" s="11">
        <f t="shared" si="22"/>
        <v>0</v>
      </c>
      <c r="AJ79" s="11">
        <f t="shared" ref="AJ79" si="24">AJ88-AJ70-AJ61-AJ52-AJ43-AJ34-AJ25-AJ16-AJ7</f>
        <v>-1</v>
      </c>
      <c r="AK79" s="11">
        <f t="shared" ref="AK79:BQ79" si="25">AK88-AK70-AK61-AK52-AK43-AK34-AK25-AK16-AK7</f>
        <v>0</v>
      </c>
      <c r="AL79" s="11">
        <f t="shared" si="25"/>
        <v>626</v>
      </c>
      <c r="AM79" s="11">
        <f t="shared" si="25"/>
        <v>626</v>
      </c>
      <c r="AN79" s="11">
        <f t="shared" si="25"/>
        <v>0</v>
      </c>
      <c r="AO79" s="11">
        <f t="shared" si="25"/>
        <v>0</v>
      </c>
      <c r="AP79" s="11">
        <f t="shared" si="25"/>
        <v>-52528.667862172966</v>
      </c>
      <c r="AQ79" s="11">
        <f t="shared" si="25"/>
        <v>27051.390100258985</v>
      </c>
      <c r="AR79" s="11">
        <f t="shared" si="25"/>
        <v>20485</v>
      </c>
      <c r="AS79" s="11">
        <f t="shared" si="25"/>
        <v>49082</v>
      </c>
      <c r="AT79" s="11">
        <f t="shared" si="25"/>
        <v>-120389</v>
      </c>
      <c r="AU79" s="11">
        <f t="shared" si="25"/>
        <v>-111265</v>
      </c>
      <c r="AV79" s="11">
        <f t="shared" si="25"/>
        <v>59408</v>
      </c>
      <c r="AW79" s="11">
        <f t="shared" si="25"/>
        <v>109709</v>
      </c>
      <c r="AX79" s="11">
        <f t="shared" si="25"/>
        <v>0</v>
      </c>
      <c r="AY79" s="11">
        <f t="shared" si="25"/>
        <v>124</v>
      </c>
      <c r="AZ79" s="11">
        <f t="shared" si="25"/>
        <v>0</v>
      </c>
      <c r="BA79" s="11">
        <f t="shared" si="25"/>
        <v>0</v>
      </c>
      <c r="BB79" s="11">
        <f t="shared" si="25"/>
        <v>0</v>
      </c>
      <c r="BC79" s="11">
        <f t="shared" si="25"/>
        <v>0</v>
      </c>
      <c r="BD79" s="11">
        <f t="shared" si="25"/>
        <v>0</v>
      </c>
      <c r="BE79" s="11">
        <f t="shared" si="25"/>
        <v>8930</v>
      </c>
      <c r="BF79" s="11">
        <f t="shared" si="25"/>
        <v>0</v>
      </c>
      <c r="BG79" s="11">
        <f t="shared" si="25"/>
        <v>0</v>
      </c>
      <c r="BH79" s="11">
        <f t="shared" si="25"/>
        <v>1</v>
      </c>
      <c r="BI79" s="11">
        <f t="shared" si="25"/>
        <v>0</v>
      </c>
      <c r="BJ79" s="11">
        <f t="shared" si="25"/>
        <v>0</v>
      </c>
      <c r="BK79" s="11">
        <f t="shared" si="25"/>
        <v>0</v>
      </c>
      <c r="BL79" s="11">
        <f t="shared" si="25"/>
        <v>0</v>
      </c>
      <c r="BM79" s="11">
        <f t="shared" si="25"/>
        <v>0</v>
      </c>
      <c r="BN79" s="11">
        <f t="shared" si="25"/>
        <v>12068</v>
      </c>
      <c r="BO79" s="11">
        <f t="shared" si="25"/>
        <v>-150526</v>
      </c>
      <c r="BP79" s="11">
        <f t="shared" si="25"/>
        <v>0</v>
      </c>
      <c r="BQ79" s="11">
        <f t="shared" si="25"/>
        <v>0</v>
      </c>
      <c r="BR79" s="99">
        <f t="shared" si="20"/>
        <v>69872.332137827034</v>
      </c>
      <c r="BS79" s="99">
        <f t="shared" si="21"/>
        <v>183875.39010025898</v>
      </c>
    </row>
    <row r="80" spans="1:71" x14ac:dyDescent="0.25">
      <c r="A80" s="11" t="s">
        <v>289</v>
      </c>
      <c r="B80" s="11">
        <f t="shared" ref="B80:AI80" si="26">B89-B71-B62-B53-B44-B35-B26-B17-B8</f>
        <v>0</v>
      </c>
      <c r="C80" s="11">
        <f t="shared" si="26"/>
        <v>0</v>
      </c>
      <c r="D80" s="11">
        <f t="shared" si="26"/>
        <v>0</v>
      </c>
      <c r="E80" s="11">
        <f t="shared" si="26"/>
        <v>-1</v>
      </c>
      <c r="F80" s="11">
        <f t="shared" si="26"/>
        <v>48732837</v>
      </c>
      <c r="G80" s="11">
        <f t="shared" si="26"/>
        <v>49489740</v>
      </c>
      <c r="H80" s="11">
        <f t="shared" si="26"/>
        <v>4052</v>
      </c>
      <c r="I80" s="11">
        <f t="shared" si="26"/>
        <v>18664</v>
      </c>
      <c r="J80" s="11">
        <f t="shared" si="26"/>
        <v>15589284</v>
      </c>
      <c r="K80" s="11">
        <f t="shared" si="26"/>
        <v>18922241</v>
      </c>
      <c r="L80" s="11">
        <f t="shared" si="26"/>
        <v>3896144</v>
      </c>
      <c r="M80" s="11">
        <f t="shared" si="26"/>
        <v>3956913</v>
      </c>
      <c r="N80" s="11">
        <f t="shared" si="26"/>
        <v>10585</v>
      </c>
      <c r="O80" s="11">
        <f t="shared" si="26"/>
        <v>63521</v>
      </c>
      <c r="P80" s="11">
        <f t="shared" si="26"/>
        <v>0</v>
      </c>
      <c r="Q80" s="11">
        <f t="shared" si="26"/>
        <v>0</v>
      </c>
      <c r="R80" s="11">
        <f t="shared" si="26"/>
        <v>-3076</v>
      </c>
      <c r="S80" s="11">
        <f t="shared" si="26"/>
        <v>-3524</v>
      </c>
      <c r="T80" s="11">
        <f t="shared" si="26"/>
        <v>6</v>
      </c>
      <c r="U80" s="11">
        <f t="shared" ref="U80" si="27">U89-U71-U62-U53-U44-U35-U26-U17-U8</f>
        <v>53</v>
      </c>
      <c r="V80" s="11">
        <f t="shared" si="26"/>
        <v>729618.54</v>
      </c>
      <c r="W80" s="11">
        <f t="shared" si="26"/>
        <v>1573553.91</v>
      </c>
      <c r="X80" s="11">
        <f t="shared" si="26"/>
        <v>2461122</v>
      </c>
      <c r="Y80" s="11">
        <f t="shared" si="26"/>
        <v>2575110</v>
      </c>
      <c r="Z80" s="11">
        <f t="shared" si="26"/>
        <v>15973</v>
      </c>
      <c r="AA80" s="11">
        <f t="shared" si="26"/>
        <v>24404</v>
      </c>
      <c r="AB80" s="11">
        <f t="shared" si="26"/>
        <v>-13456165</v>
      </c>
      <c r="AC80" s="11">
        <f t="shared" si="26"/>
        <v>-14402709</v>
      </c>
      <c r="AD80" s="11">
        <f t="shared" si="26"/>
        <v>1456224</v>
      </c>
      <c r="AE80" s="11">
        <f t="shared" si="26"/>
        <v>2515351</v>
      </c>
      <c r="AF80" s="11">
        <f t="shared" si="26"/>
        <v>6777657</v>
      </c>
      <c r="AG80" s="11">
        <f t="shared" si="26"/>
        <v>9105026</v>
      </c>
      <c r="AH80" s="11">
        <f t="shared" si="26"/>
        <v>8384</v>
      </c>
      <c r="AI80" s="11">
        <f t="shared" si="26"/>
        <v>16026</v>
      </c>
      <c r="AJ80" s="11">
        <f t="shared" ref="AJ80" si="28">AJ89-AJ71-AJ62-AJ53-AJ44-AJ35-AJ26-AJ17-AJ8</f>
        <v>49913</v>
      </c>
      <c r="AK80" s="11">
        <f t="shared" ref="AK80:BQ80" si="29">AK89-AK71-AK62-AK53-AK44-AK35-AK26-AK17-AK8</f>
        <v>213680</v>
      </c>
      <c r="AL80" s="11">
        <f t="shared" si="29"/>
        <v>-46471</v>
      </c>
      <c r="AM80" s="11">
        <f t="shared" si="29"/>
        <v>-78782</v>
      </c>
      <c r="AN80" s="11">
        <f t="shared" si="29"/>
        <v>0</v>
      </c>
      <c r="AO80" s="11">
        <f t="shared" si="29"/>
        <v>0</v>
      </c>
      <c r="AP80" s="11">
        <f t="shared" si="29"/>
        <v>4825261.8580154702</v>
      </c>
      <c r="AQ80" s="11">
        <f t="shared" si="29"/>
        <v>5221432.5095739774</v>
      </c>
      <c r="AR80" s="11">
        <f t="shared" si="29"/>
        <v>11380815</v>
      </c>
      <c r="AS80" s="11">
        <f t="shared" si="29"/>
        <v>12127942</v>
      </c>
      <c r="AT80" s="11">
        <f t="shared" si="29"/>
        <v>5449441</v>
      </c>
      <c r="AU80" s="11">
        <f t="shared" si="29"/>
        <v>10491212</v>
      </c>
      <c r="AV80" s="11">
        <f t="shared" si="29"/>
        <v>78110</v>
      </c>
      <c r="AW80" s="11">
        <f t="shared" si="29"/>
        <v>144303</v>
      </c>
      <c r="AX80" s="11">
        <f t="shared" si="29"/>
        <v>7672452</v>
      </c>
      <c r="AY80" s="11">
        <f t="shared" si="29"/>
        <v>8899989</v>
      </c>
      <c r="AZ80" s="11">
        <f t="shared" si="29"/>
        <v>0</v>
      </c>
      <c r="BA80" s="11">
        <f t="shared" si="29"/>
        <v>0</v>
      </c>
      <c r="BB80" s="11">
        <f t="shared" si="29"/>
        <v>0</v>
      </c>
      <c r="BC80" s="11">
        <f t="shared" si="29"/>
        <v>0</v>
      </c>
      <c r="BD80" s="11">
        <f t="shared" si="29"/>
        <v>-2346840</v>
      </c>
      <c r="BE80" s="11">
        <f t="shared" si="29"/>
        <v>-2386921</v>
      </c>
      <c r="BF80" s="11">
        <f t="shared" si="29"/>
        <v>6798957</v>
      </c>
      <c r="BG80" s="11">
        <f t="shared" si="29"/>
        <v>10190099</v>
      </c>
      <c r="BH80" s="11">
        <f t="shared" si="29"/>
        <v>7350</v>
      </c>
      <c r="BI80" s="11">
        <f t="shared" si="29"/>
        <v>12345</v>
      </c>
      <c r="BJ80" s="11">
        <f t="shared" si="29"/>
        <v>3655612</v>
      </c>
      <c r="BK80" s="11">
        <f t="shared" si="29"/>
        <v>6394494</v>
      </c>
      <c r="BL80" s="11">
        <f t="shared" si="29"/>
        <v>637354</v>
      </c>
      <c r="BM80" s="11">
        <f t="shared" si="29"/>
        <v>2546775</v>
      </c>
      <c r="BN80" s="11">
        <f t="shared" si="29"/>
        <v>6634688</v>
      </c>
      <c r="BO80" s="11">
        <f t="shared" si="29"/>
        <v>6956728</v>
      </c>
      <c r="BP80" s="11">
        <f t="shared" si="29"/>
        <v>4778772</v>
      </c>
      <c r="BQ80" s="11">
        <f t="shared" si="29"/>
        <v>5016226</v>
      </c>
      <c r="BR80" s="99">
        <f t="shared" si="20"/>
        <v>115798060.39801547</v>
      </c>
      <c r="BS80" s="99">
        <f t="shared" si="21"/>
        <v>139603891.41957396</v>
      </c>
    </row>
    <row r="81" spans="1:71" x14ac:dyDescent="0.25">
      <c r="A81" s="11" t="s">
        <v>243</v>
      </c>
      <c r="B81" s="11">
        <f t="shared" ref="B81:AI81" si="30">B90-B72-B63-B54-B45-B36-B27-B18-B9</f>
        <v>0</v>
      </c>
      <c r="C81" s="11">
        <f t="shared" si="30"/>
        <v>0</v>
      </c>
      <c r="D81" s="11">
        <f t="shared" si="30"/>
        <v>0</v>
      </c>
      <c r="E81" s="11">
        <f t="shared" si="30"/>
        <v>0</v>
      </c>
      <c r="F81" s="11">
        <f t="shared" si="30"/>
        <v>14076355</v>
      </c>
      <c r="G81" s="11">
        <f t="shared" si="30"/>
        <v>14296200</v>
      </c>
      <c r="H81" s="11">
        <f t="shared" si="30"/>
        <v>78360</v>
      </c>
      <c r="I81" s="11">
        <f t="shared" si="30"/>
        <v>182764</v>
      </c>
      <c r="J81" s="11">
        <f t="shared" si="30"/>
        <v>4123693</v>
      </c>
      <c r="K81" s="11">
        <f t="shared" si="30"/>
        <v>4751229</v>
      </c>
      <c r="L81" s="11">
        <f t="shared" si="30"/>
        <v>842113</v>
      </c>
      <c r="M81" s="11">
        <f t="shared" si="30"/>
        <v>892124</v>
      </c>
      <c r="N81" s="11">
        <f t="shared" si="30"/>
        <v>87129</v>
      </c>
      <c r="O81" s="11">
        <f t="shared" si="30"/>
        <v>182438</v>
      </c>
      <c r="P81" s="11">
        <f t="shared" si="30"/>
        <v>0</v>
      </c>
      <c r="Q81" s="11">
        <f t="shared" si="30"/>
        <v>0</v>
      </c>
      <c r="R81" s="11">
        <f t="shared" si="30"/>
        <v>15273</v>
      </c>
      <c r="S81" s="11">
        <f t="shared" si="30"/>
        <v>17141</v>
      </c>
      <c r="T81" s="11">
        <f t="shared" si="30"/>
        <v>19</v>
      </c>
      <c r="U81" s="11">
        <f t="shared" ref="U81" si="31">U90-U72-U63-U54-U45-U36-U27-U18-U9</f>
        <v>470</v>
      </c>
      <c r="V81" s="11">
        <f t="shared" si="30"/>
        <v>1932823.72</v>
      </c>
      <c r="W81" s="11">
        <f t="shared" si="30"/>
        <v>3677802.26</v>
      </c>
      <c r="X81" s="11">
        <f t="shared" si="30"/>
        <v>994594</v>
      </c>
      <c r="Y81" s="11">
        <f t="shared" si="30"/>
        <v>1290527</v>
      </c>
      <c r="Z81" s="11">
        <f t="shared" si="30"/>
        <v>43992</v>
      </c>
      <c r="AA81" s="11">
        <f t="shared" si="30"/>
        <v>78801</v>
      </c>
      <c r="AB81" s="11">
        <f t="shared" si="30"/>
        <v>3602283</v>
      </c>
      <c r="AC81" s="11">
        <f t="shared" si="30"/>
        <v>4036555</v>
      </c>
      <c r="AD81" s="11">
        <f t="shared" si="30"/>
        <v>1116687</v>
      </c>
      <c r="AE81" s="11">
        <f t="shared" si="30"/>
        <v>2181101</v>
      </c>
      <c r="AF81" s="11">
        <f t="shared" si="30"/>
        <v>1985381</v>
      </c>
      <c r="AG81" s="11">
        <f t="shared" si="30"/>
        <v>2908060</v>
      </c>
      <c r="AH81" s="11">
        <f t="shared" si="30"/>
        <v>33118</v>
      </c>
      <c r="AI81" s="11">
        <f t="shared" si="30"/>
        <v>46913</v>
      </c>
      <c r="AJ81" s="11">
        <f t="shared" ref="AJ81" si="32">AJ90-AJ72-AJ63-AJ54-AJ45-AJ36-AJ27-AJ18-AJ9</f>
        <v>90864</v>
      </c>
      <c r="AK81" s="11">
        <f t="shared" ref="AK81:BQ81" si="33">AK90-AK72-AK63-AK54-AK45-AK36-AK27-AK18-AK9</f>
        <v>140296</v>
      </c>
      <c r="AL81" s="11">
        <f t="shared" si="33"/>
        <v>4996</v>
      </c>
      <c r="AM81" s="11">
        <f t="shared" si="33"/>
        <v>11003</v>
      </c>
      <c r="AN81" s="11">
        <f t="shared" si="33"/>
        <v>0</v>
      </c>
      <c r="AO81" s="11">
        <f t="shared" si="33"/>
        <v>0</v>
      </c>
      <c r="AP81" s="11">
        <f t="shared" si="33"/>
        <v>2232946.5206748936</v>
      </c>
      <c r="AQ81" s="11">
        <f t="shared" si="33"/>
        <v>3166596.574383813</v>
      </c>
      <c r="AR81" s="11">
        <f t="shared" si="33"/>
        <v>4758648</v>
      </c>
      <c r="AS81" s="11">
        <f t="shared" si="33"/>
        <v>7366175</v>
      </c>
      <c r="AT81" s="11">
        <f t="shared" si="33"/>
        <v>2506709</v>
      </c>
      <c r="AU81" s="11">
        <f t="shared" si="33"/>
        <v>4938886</v>
      </c>
      <c r="AV81" s="11">
        <f t="shared" si="33"/>
        <v>111756</v>
      </c>
      <c r="AW81" s="11">
        <f t="shared" si="33"/>
        <v>221721</v>
      </c>
      <c r="AX81" s="11">
        <f t="shared" si="33"/>
        <v>2249668</v>
      </c>
      <c r="AY81" s="11">
        <f t="shared" si="33"/>
        <v>2751478</v>
      </c>
      <c r="AZ81" s="11">
        <f t="shared" si="33"/>
        <v>0</v>
      </c>
      <c r="BA81" s="11">
        <f t="shared" si="33"/>
        <v>0</v>
      </c>
      <c r="BB81" s="11">
        <f t="shared" si="33"/>
        <v>0</v>
      </c>
      <c r="BC81" s="11">
        <f t="shared" si="33"/>
        <v>0</v>
      </c>
      <c r="BD81" s="11">
        <f t="shared" si="33"/>
        <v>1314878</v>
      </c>
      <c r="BE81" s="11">
        <f t="shared" si="33"/>
        <v>1370294</v>
      </c>
      <c r="BF81" s="11">
        <f t="shared" si="33"/>
        <v>1930169</v>
      </c>
      <c r="BG81" s="11">
        <f t="shared" si="33"/>
        <v>2914922</v>
      </c>
      <c r="BH81" s="11">
        <f t="shared" si="33"/>
        <v>29921</v>
      </c>
      <c r="BI81" s="11">
        <f t="shared" si="33"/>
        <v>57274</v>
      </c>
      <c r="BJ81" s="11">
        <f t="shared" si="33"/>
        <v>12091623</v>
      </c>
      <c r="BK81" s="11">
        <f t="shared" si="33"/>
        <v>20961381</v>
      </c>
      <c r="BL81" s="11">
        <f t="shared" si="33"/>
        <v>571230</v>
      </c>
      <c r="BM81" s="11">
        <f t="shared" si="33"/>
        <v>1901411</v>
      </c>
      <c r="BN81" s="11">
        <f t="shared" si="33"/>
        <v>2637869</v>
      </c>
      <c r="BO81" s="11">
        <f t="shared" si="33"/>
        <v>3702486</v>
      </c>
      <c r="BP81" s="11">
        <f t="shared" si="33"/>
        <v>965885</v>
      </c>
      <c r="BQ81" s="11">
        <f t="shared" si="33"/>
        <v>1123330</v>
      </c>
      <c r="BR81" s="99">
        <f t="shared" si="20"/>
        <v>60428983.240674891</v>
      </c>
      <c r="BS81" s="99">
        <f t="shared" si="21"/>
        <v>85169378.834383816</v>
      </c>
    </row>
    <row r="82" spans="1:71" x14ac:dyDescent="0.25">
      <c r="A82" s="11" t="s">
        <v>244</v>
      </c>
      <c r="B82" s="11">
        <f t="shared" ref="B82:AI82" si="34">B91-B73-B64-B55-B46-B37-B28-B19-B10</f>
        <v>0</v>
      </c>
      <c r="C82" s="11">
        <f t="shared" si="34"/>
        <v>0</v>
      </c>
      <c r="D82" s="11">
        <f t="shared" si="34"/>
        <v>0</v>
      </c>
      <c r="E82" s="11">
        <f t="shared" si="34"/>
        <v>0</v>
      </c>
      <c r="F82" s="11">
        <f t="shared" si="34"/>
        <v>12385955</v>
      </c>
      <c r="G82" s="11">
        <f t="shared" si="34"/>
        <v>13389643</v>
      </c>
      <c r="H82" s="11">
        <f t="shared" si="34"/>
        <v>83086</v>
      </c>
      <c r="I82" s="11">
        <f t="shared" si="34"/>
        <v>175432</v>
      </c>
      <c r="J82" s="11">
        <f t="shared" si="34"/>
        <v>3047515</v>
      </c>
      <c r="K82" s="11">
        <f t="shared" si="34"/>
        <v>4506239</v>
      </c>
      <c r="L82" s="11">
        <f t="shared" si="34"/>
        <v>367597</v>
      </c>
      <c r="M82" s="11">
        <f t="shared" si="34"/>
        <v>443867</v>
      </c>
      <c r="N82" s="11">
        <f t="shared" si="34"/>
        <v>104073</v>
      </c>
      <c r="O82" s="11">
        <f t="shared" si="34"/>
        <v>276410</v>
      </c>
      <c r="P82" s="11">
        <f t="shared" si="34"/>
        <v>0</v>
      </c>
      <c r="Q82" s="11">
        <f t="shared" si="34"/>
        <v>-1</v>
      </c>
      <c r="R82" s="11">
        <f t="shared" si="34"/>
        <v>6557</v>
      </c>
      <c r="S82" s="11">
        <f t="shared" si="34"/>
        <v>7325</v>
      </c>
      <c r="T82" s="11">
        <f t="shared" si="34"/>
        <v>20</v>
      </c>
      <c r="U82" s="11">
        <f t="shared" ref="U82" si="35">U91-U73-U64-U55-U46-U37-U28-U19-U10</f>
        <v>516</v>
      </c>
      <c r="V82" s="11">
        <f t="shared" si="34"/>
        <v>1997294.15</v>
      </c>
      <c r="W82" s="11">
        <f t="shared" si="34"/>
        <v>3687987.79</v>
      </c>
      <c r="X82" s="11">
        <f t="shared" si="34"/>
        <v>693701</v>
      </c>
      <c r="Y82" s="11">
        <f t="shared" si="34"/>
        <v>1092736</v>
      </c>
      <c r="Z82" s="11">
        <f t="shared" si="34"/>
        <v>37523</v>
      </c>
      <c r="AA82" s="11">
        <f t="shared" si="34"/>
        <v>63209</v>
      </c>
      <c r="AB82" s="11">
        <f t="shared" si="34"/>
        <v>2464902</v>
      </c>
      <c r="AC82" s="11">
        <f t="shared" si="34"/>
        <v>3035350</v>
      </c>
      <c r="AD82" s="11">
        <f t="shared" si="34"/>
        <v>1080736</v>
      </c>
      <c r="AE82" s="11">
        <f t="shared" si="34"/>
        <v>1929637</v>
      </c>
      <c r="AF82" s="11">
        <f t="shared" si="34"/>
        <v>1220735</v>
      </c>
      <c r="AG82" s="11">
        <f t="shared" si="34"/>
        <v>1604798</v>
      </c>
      <c r="AH82" s="11">
        <f t="shared" si="34"/>
        <v>5439</v>
      </c>
      <c r="AI82" s="11">
        <f t="shared" si="34"/>
        <v>11243</v>
      </c>
      <c r="AJ82" s="11">
        <f t="shared" ref="AJ82" si="36">AJ91-AJ73-AJ64-AJ55-AJ46-AJ37-AJ28-AJ19-AJ10</f>
        <v>54074</v>
      </c>
      <c r="AK82" s="11">
        <f t="shared" ref="AK82:BQ82" si="37">AK91-AK73-AK64-AK55-AK46-AK37-AK28-AK19-AK10</f>
        <v>131427</v>
      </c>
      <c r="AL82" s="11">
        <f t="shared" si="37"/>
        <v>7050</v>
      </c>
      <c r="AM82" s="11">
        <f t="shared" si="37"/>
        <v>14459</v>
      </c>
      <c r="AN82" s="11">
        <f t="shared" si="37"/>
        <v>0</v>
      </c>
      <c r="AO82" s="11">
        <f t="shared" si="37"/>
        <v>0</v>
      </c>
      <c r="AP82" s="11">
        <f t="shared" si="37"/>
        <v>2679588.2996748937</v>
      </c>
      <c r="AQ82" s="11">
        <f t="shared" si="37"/>
        <v>4194684.9018338146</v>
      </c>
      <c r="AR82" s="11">
        <f t="shared" si="37"/>
        <v>4046194</v>
      </c>
      <c r="AS82" s="11">
        <f t="shared" si="37"/>
        <v>6121440</v>
      </c>
      <c r="AT82" s="11">
        <f t="shared" si="37"/>
        <v>1777678</v>
      </c>
      <c r="AU82" s="11">
        <f t="shared" si="37"/>
        <v>3949818</v>
      </c>
      <c r="AV82" s="11">
        <f t="shared" si="37"/>
        <v>88405</v>
      </c>
      <c r="AW82" s="11">
        <f t="shared" si="37"/>
        <v>170161</v>
      </c>
      <c r="AX82" s="11">
        <f t="shared" si="37"/>
        <v>1308889</v>
      </c>
      <c r="AY82" s="11">
        <f t="shared" si="37"/>
        <v>1826785</v>
      </c>
      <c r="AZ82" s="11">
        <f t="shared" si="37"/>
        <v>0</v>
      </c>
      <c r="BA82" s="11">
        <f t="shared" si="37"/>
        <v>0</v>
      </c>
      <c r="BB82" s="11">
        <f t="shared" si="37"/>
        <v>0</v>
      </c>
      <c r="BC82" s="11">
        <f t="shared" si="37"/>
        <v>0</v>
      </c>
      <c r="BD82" s="11">
        <f t="shared" si="37"/>
        <v>548594</v>
      </c>
      <c r="BE82" s="11">
        <f t="shared" si="37"/>
        <v>595751</v>
      </c>
      <c r="BF82" s="11">
        <f t="shared" si="37"/>
        <v>1460063</v>
      </c>
      <c r="BG82" s="11">
        <f t="shared" si="37"/>
        <v>2667876</v>
      </c>
      <c r="BH82" s="11">
        <f t="shared" si="37"/>
        <v>30611</v>
      </c>
      <c r="BI82" s="11">
        <f t="shared" si="37"/>
        <v>60655</v>
      </c>
      <c r="BJ82" s="11">
        <f t="shared" si="37"/>
        <v>10347342</v>
      </c>
      <c r="BK82" s="11">
        <f t="shared" si="37"/>
        <v>18494999</v>
      </c>
      <c r="BL82" s="11">
        <f t="shared" si="37"/>
        <v>595655</v>
      </c>
      <c r="BM82" s="11">
        <f t="shared" si="37"/>
        <v>1915442</v>
      </c>
      <c r="BN82" s="11">
        <f t="shared" si="37"/>
        <v>2577343</v>
      </c>
      <c r="BO82" s="11">
        <f t="shared" si="37"/>
        <v>3790567</v>
      </c>
      <c r="BP82" s="11">
        <f t="shared" si="37"/>
        <v>377177</v>
      </c>
      <c r="BQ82" s="11">
        <f t="shared" si="37"/>
        <v>704208</v>
      </c>
      <c r="BR82" s="99">
        <f t="shared" si="20"/>
        <v>49393796.449674889</v>
      </c>
      <c r="BS82" s="99">
        <f t="shared" si="21"/>
        <v>74862664.691833824</v>
      </c>
    </row>
    <row r="84" spans="1:71" x14ac:dyDescent="0.25">
      <c r="A84" s="31" t="s">
        <v>56</v>
      </c>
    </row>
    <row r="85" spans="1:71" x14ac:dyDescent="0.25">
      <c r="A85" s="1" t="s">
        <v>0</v>
      </c>
      <c r="B85" s="105" t="s">
        <v>1</v>
      </c>
      <c r="C85" s="106"/>
      <c r="D85" s="105" t="s">
        <v>2</v>
      </c>
      <c r="E85" s="106"/>
      <c r="F85" s="105" t="s">
        <v>3</v>
      </c>
      <c r="G85" s="106"/>
      <c r="H85" s="105" t="s">
        <v>4</v>
      </c>
      <c r="I85" s="106"/>
      <c r="J85" s="105" t="s">
        <v>5</v>
      </c>
      <c r="K85" s="106"/>
      <c r="L85" s="105" t="s">
        <v>6</v>
      </c>
      <c r="M85" s="106"/>
      <c r="N85" s="105" t="s">
        <v>7</v>
      </c>
      <c r="O85" s="106"/>
      <c r="P85" s="105" t="s">
        <v>8</v>
      </c>
      <c r="Q85" s="106"/>
      <c r="R85" s="105" t="s">
        <v>9</v>
      </c>
      <c r="S85" s="106"/>
      <c r="T85" s="105" t="s">
        <v>10</v>
      </c>
      <c r="U85" s="106"/>
      <c r="V85" s="105" t="s">
        <v>11</v>
      </c>
      <c r="W85" s="106"/>
      <c r="X85" s="105" t="s">
        <v>12</v>
      </c>
      <c r="Y85" s="106"/>
      <c r="Z85" s="105" t="s">
        <v>13</v>
      </c>
      <c r="AA85" s="106"/>
      <c r="AB85" s="105" t="s">
        <v>14</v>
      </c>
      <c r="AC85" s="106"/>
      <c r="AD85" s="105" t="s">
        <v>15</v>
      </c>
      <c r="AE85" s="106"/>
      <c r="AF85" s="105" t="s">
        <v>16</v>
      </c>
      <c r="AG85" s="106"/>
      <c r="AH85" s="105" t="s">
        <v>17</v>
      </c>
      <c r="AI85" s="106"/>
      <c r="AJ85" s="105" t="s">
        <v>18</v>
      </c>
      <c r="AK85" s="106"/>
      <c r="AL85" s="105" t="s">
        <v>19</v>
      </c>
      <c r="AM85" s="106"/>
      <c r="AN85" s="105" t="s">
        <v>20</v>
      </c>
      <c r="AO85" s="106"/>
      <c r="AP85" s="105" t="s">
        <v>21</v>
      </c>
      <c r="AQ85" s="106"/>
      <c r="AR85" s="105" t="s">
        <v>22</v>
      </c>
      <c r="AS85" s="106"/>
      <c r="AT85" s="105" t="s">
        <v>23</v>
      </c>
      <c r="AU85" s="106"/>
      <c r="AV85" s="105" t="s">
        <v>24</v>
      </c>
      <c r="AW85" s="106"/>
      <c r="AX85" s="105" t="s">
        <v>25</v>
      </c>
      <c r="AY85" s="106"/>
      <c r="AZ85" s="105" t="s">
        <v>26</v>
      </c>
      <c r="BA85" s="106"/>
      <c r="BB85" s="105" t="s">
        <v>27</v>
      </c>
      <c r="BC85" s="106"/>
      <c r="BD85" s="105" t="s">
        <v>28</v>
      </c>
      <c r="BE85" s="106"/>
      <c r="BF85" s="105" t="s">
        <v>29</v>
      </c>
      <c r="BG85" s="106"/>
      <c r="BH85" s="105" t="s">
        <v>30</v>
      </c>
      <c r="BI85" s="106"/>
      <c r="BJ85" s="105" t="s">
        <v>31</v>
      </c>
      <c r="BK85" s="106"/>
      <c r="BL85" s="105" t="s">
        <v>32</v>
      </c>
      <c r="BM85" s="106"/>
      <c r="BN85" s="109" t="s">
        <v>33</v>
      </c>
      <c r="BO85" s="110"/>
      <c r="BP85" s="105" t="s">
        <v>34</v>
      </c>
      <c r="BQ85" s="106"/>
      <c r="BR85" s="107" t="s">
        <v>35</v>
      </c>
      <c r="BS85" s="108"/>
    </row>
    <row r="86" spans="1:71" ht="30" x14ac:dyDescent="0.25">
      <c r="A86" s="1"/>
      <c r="B86" s="76" t="s">
        <v>295</v>
      </c>
      <c r="C86" s="77" t="s">
        <v>296</v>
      </c>
      <c r="D86" s="76" t="s">
        <v>295</v>
      </c>
      <c r="E86" s="77" t="s">
        <v>296</v>
      </c>
      <c r="F86" s="76" t="s">
        <v>295</v>
      </c>
      <c r="G86" s="77" t="s">
        <v>296</v>
      </c>
      <c r="H86" s="76" t="s">
        <v>295</v>
      </c>
      <c r="I86" s="77" t="s">
        <v>296</v>
      </c>
      <c r="J86" s="76" t="s">
        <v>295</v>
      </c>
      <c r="K86" s="77" t="s">
        <v>296</v>
      </c>
      <c r="L86" s="76" t="s">
        <v>295</v>
      </c>
      <c r="M86" s="77" t="s">
        <v>296</v>
      </c>
      <c r="N86" s="76" t="s">
        <v>295</v>
      </c>
      <c r="O86" s="77" t="s">
        <v>296</v>
      </c>
      <c r="P86" s="76" t="s">
        <v>295</v>
      </c>
      <c r="Q86" s="77" t="s">
        <v>296</v>
      </c>
      <c r="R86" s="76" t="s">
        <v>295</v>
      </c>
      <c r="S86" s="77" t="s">
        <v>296</v>
      </c>
      <c r="T86" s="76" t="s">
        <v>295</v>
      </c>
      <c r="U86" s="77" t="s">
        <v>296</v>
      </c>
      <c r="V86" s="76" t="s">
        <v>295</v>
      </c>
      <c r="W86" s="77" t="s">
        <v>296</v>
      </c>
      <c r="X86" s="76" t="s">
        <v>295</v>
      </c>
      <c r="Y86" s="77" t="s">
        <v>296</v>
      </c>
      <c r="Z86" s="76" t="s">
        <v>295</v>
      </c>
      <c r="AA86" s="77" t="s">
        <v>296</v>
      </c>
      <c r="AB86" s="76" t="s">
        <v>295</v>
      </c>
      <c r="AC86" s="77" t="s">
        <v>296</v>
      </c>
      <c r="AD86" s="76" t="s">
        <v>295</v>
      </c>
      <c r="AE86" s="77" t="s">
        <v>296</v>
      </c>
      <c r="AF86" s="76" t="s">
        <v>295</v>
      </c>
      <c r="AG86" s="77" t="s">
        <v>296</v>
      </c>
      <c r="AH86" s="76" t="s">
        <v>295</v>
      </c>
      <c r="AI86" s="77" t="s">
        <v>296</v>
      </c>
      <c r="AJ86" s="76" t="s">
        <v>295</v>
      </c>
      <c r="AK86" s="77" t="s">
        <v>296</v>
      </c>
      <c r="AL86" s="76" t="s">
        <v>295</v>
      </c>
      <c r="AM86" s="77" t="s">
        <v>296</v>
      </c>
      <c r="AN86" s="76" t="s">
        <v>295</v>
      </c>
      <c r="AO86" s="77" t="s">
        <v>296</v>
      </c>
      <c r="AP86" s="76" t="s">
        <v>295</v>
      </c>
      <c r="AQ86" s="77" t="s">
        <v>296</v>
      </c>
      <c r="AR86" s="76" t="s">
        <v>295</v>
      </c>
      <c r="AS86" s="77" t="s">
        <v>296</v>
      </c>
      <c r="AT86" s="76" t="s">
        <v>295</v>
      </c>
      <c r="AU86" s="77" t="s">
        <v>296</v>
      </c>
      <c r="AV86" s="76" t="s">
        <v>295</v>
      </c>
      <c r="AW86" s="77" t="s">
        <v>296</v>
      </c>
      <c r="AX86" s="76" t="s">
        <v>295</v>
      </c>
      <c r="AY86" s="77" t="s">
        <v>296</v>
      </c>
      <c r="AZ86" s="76" t="s">
        <v>295</v>
      </c>
      <c r="BA86" s="77" t="s">
        <v>296</v>
      </c>
      <c r="BB86" s="76" t="s">
        <v>295</v>
      </c>
      <c r="BC86" s="77" t="s">
        <v>296</v>
      </c>
      <c r="BD86" s="76" t="s">
        <v>295</v>
      </c>
      <c r="BE86" s="77" t="s">
        <v>296</v>
      </c>
      <c r="BF86" s="76" t="s">
        <v>295</v>
      </c>
      <c r="BG86" s="77" t="s">
        <v>296</v>
      </c>
      <c r="BH86" s="76" t="s">
        <v>295</v>
      </c>
      <c r="BI86" s="77" t="s">
        <v>296</v>
      </c>
      <c r="BJ86" s="76" t="s">
        <v>295</v>
      </c>
      <c r="BK86" s="77" t="s">
        <v>296</v>
      </c>
      <c r="BL86" s="76" t="s">
        <v>295</v>
      </c>
      <c r="BM86" s="77" t="s">
        <v>296</v>
      </c>
      <c r="BN86" s="76" t="s">
        <v>295</v>
      </c>
      <c r="BO86" s="77" t="s">
        <v>296</v>
      </c>
      <c r="BP86" s="76" t="s">
        <v>295</v>
      </c>
      <c r="BQ86" s="77" t="s">
        <v>296</v>
      </c>
      <c r="BR86" s="95" t="s">
        <v>295</v>
      </c>
      <c r="BS86" s="96" t="s">
        <v>296</v>
      </c>
    </row>
    <row r="87" spans="1:71" x14ac:dyDescent="0.25">
      <c r="A87" s="11" t="s">
        <v>285</v>
      </c>
      <c r="B87" s="11">
        <v>984956</v>
      </c>
      <c r="C87" s="11">
        <v>1654332</v>
      </c>
      <c r="D87" s="11">
        <v>1717668</v>
      </c>
      <c r="E87" s="11">
        <v>3148663</v>
      </c>
      <c r="F87" s="11">
        <v>62809407</v>
      </c>
      <c r="G87" s="11">
        <v>63786155</v>
      </c>
      <c r="H87" s="11">
        <v>5758956</v>
      </c>
      <c r="I87" s="11">
        <v>10625075</v>
      </c>
      <c r="J87" s="11">
        <v>42631006</v>
      </c>
      <c r="K87" s="11">
        <v>70860538</v>
      </c>
      <c r="L87" s="11">
        <v>9923580</v>
      </c>
      <c r="M87" s="11">
        <v>15706794</v>
      </c>
      <c r="N87" s="11">
        <v>10883937</v>
      </c>
      <c r="O87" s="11">
        <v>21892541</v>
      </c>
      <c r="P87" s="11">
        <v>1269282</v>
      </c>
      <c r="Q87" s="11">
        <v>2528962</v>
      </c>
      <c r="R87" s="11">
        <v>650329</v>
      </c>
      <c r="S87" s="11">
        <v>1065061</v>
      </c>
      <c r="T87" s="11">
        <v>333771</v>
      </c>
      <c r="U87" s="11">
        <v>515224</v>
      </c>
      <c r="V87" s="11">
        <v>2662442.2599999998</v>
      </c>
      <c r="W87" s="11">
        <v>5251356.17</v>
      </c>
      <c r="X87" s="11">
        <v>8402178</v>
      </c>
      <c r="Y87" s="11">
        <v>14242661</v>
      </c>
      <c r="Z87" s="11">
        <v>5021988</v>
      </c>
      <c r="AA87" s="11">
        <v>8812645</v>
      </c>
      <c r="AB87" s="11">
        <v>32740792</v>
      </c>
      <c r="AC87" s="11">
        <v>50505553</v>
      </c>
      <c r="AD87" s="11">
        <v>29526331</v>
      </c>
      <c r="AE87" s="11">
        <v>64395086</v>
      </c>
      <c r="AF87" s="11">
        <v>22895670</v>
      </c>
      <c r="AG87" s="11">
        <v>41801918</v>
      </c>
      <c r="AH87" s="11">
        <v>1006705</v>
      </c>
      <c r="AI87" s="11">
        <v>1827215</v>
      </c>
      <c r="AJ87" s="11">
        <v>3400080</v>
      </c>
      <c r="AK87" s="11">
        <v>7110362</v>
      </c>
      <c r="AL87" s="11">
        <v>2890056</v>
      </c>
      <c r="AM87" s="11">
        <v>5547202</v>
      </c>
      <c r="AN87" s="11">
        <v>2812061</v>
      </c>
      <c r="AO87" s="11">
        <v>5316649</v>
      </c>
      <c r="AP87" s="11">
        <v>44538660.076434076</v>
      </c>
      <c r="AQ87" s="11">
        <v>76108486.918216616</v>
      </c>
      <c r="AR87" s="11">
        <v>79136975</v>
      </c>
      <c r="AS87" s="11">
        <v>153803263</v>
      </c>
      <c r="AT87" s="11">
        <v>35371668</v>
      </c>
      <c r="AU87" s="11">
        <v>70193935</v>
      </c>
      <c r="AV87" s="11">
        <v>353830</v>
      </c>
      <c r="AW87" s="11">
        <v>602723</v>
      </c>
      <c r="AX87" s="11">
        <v>24737799</v>
      </c>
      <c r="AY87" s="11">
        <v>44450073</v>
      </c>
      <c r="AZ87" s="11">
        <v>26143</v>
      </c>
      <c r="BA87" s="11">
        <v>61460</v>
      </c>
      <c r="BB87" s="11">
        <v>5610086</v>
      </c>
      <c r="BC87" s="11">
        <v>11364116</v>
      </c>
      <c r="BD87" s="11">
        <v>10758645</v>
      </c>
      <c r="BE87" s="11">
        <v>17936986</v>
      </c>
      <c r="BF87" s="11">
        <v>18367886</v>
      </c>
      <c r="BG87" s="11">
        <v>31140991</v>
      </c>
      <c r="BH87" s="11">
        <v>6316809</v>
      </c>
      <c r="BI87" s="11">
        <v>11767120</v>
      </c>
      <c r="BJ87" s="11">
        <v>15747235</v>
      </c>
      <c r="BK87" s="11">
        <v>27355875</v>
      </c>
      <c r="BL87" s="11">
        <v>18064267</v>
      </c>
      <c r="BM87" s="11">
        <v>39614769</v>
      </c>
      <c r="BN87" s="11">
        <v>42708707</v>
      </c>
      <c r="BO87" s="11">
        <v>79666057</v>
      </c>
      <c r="BP87" s="11">
        <v>8327186</v>
      </c>
      <c r="BQ87" s="11">
        <v>11916683</v>
      </c>
      <c r="BR87" s="99">
        <f t="shared" ref="BR87:BR91" si="38">SUM(B87+D87+F87+H87+J87+L87+N87+P87+R87+T87+V87+X87+Z87+AB87+AD87+AF87+AH87+AJ87+AL87+AN87+AP87+AR87+AT87+AV87+AX87+AZ87+BB87+BD87+BF87+BH87+BJ87+BL87+BN87+BP87)</f>
        <v>558387091.33643413</v>
      </c>
      <c r="BS87" s="99">
        <f t="shared" ref="BS87:BS91" si="39">SUM(C87+E87+G87+I87+K87+M87+O87+Q87+S87+U87+W87+Y87+AA87+AC87+AE87+AG87+AI87+AK87+AM87+AO87+AQ87+AS87+AU87+AW87+AY87+BA87+BC87+BE87+BG87+BI87+BK87+BM87+BO87+BQ87)</f>
        <v>972576530.08821654</v>
      </c>
    </row>
    <row r="88" spans="1:71" x14ac:dyDescent="0.25">
      <c r="A88" s="11" t="s">
        <v>288</v>
      </c>
      <c r="B88" s="11"/>
      <c r="C88" s="11"/>
      <c r="D88" s="11"/>
      <c r="E88" s="11"/>
      <c r="F88" s="11">
        <v>-215</v>
      </c>
      <c r="G88" s="11">
        <v>-215</v>
      </c>
      <c r="H88" s="11"/>
      <c r="I88" s="11"/>
      <c r="J88" s="11">
        <v>161736</v>
      </c>
      <c r="K88" s="11">
        <v>365308</v>
      </c>
      <c r="L88" s="11">
        <v>49872</v>
      </c>
      <c r="M88" s="11">
        <v>151273</v>
      </c>
      <c r="N88" s="11">
        <v>41885</v>
      </c>
      <c r="O88" s="11">
        <v>71363</v>
      </c>
      <c r="P88" s="11"/>
      <c r="Q88" s="11"/>
      <c r="R88" s="11">
        <v>1912</v>
      </c>
      <c r="S88" s="11">
        <v>3551</v>
      </c>
      <c r="T88" s="11">
        <v>29599</v>
      </c>
      <c r="U88" s="11">
        <v>59982</v>
      </c>
      <c r="V88" s="11"/>
      <c r="W88" s="11"/>
      <c r="X88" s="11">
        <v>141800</v>
      </c>
      <c r="Y88" s="11">
        <v>505875</v>
      </c>
      <c r="Z88" s="11">
        <v>318792</v>
      </c>
      <c r="AA88" s="11">
        <v>1132067</v>
      </c>
      <c r="AB88" s="11">
        <v>206965</v>
      </c>
      <c r="AC88" s="11">
        <v>784456</v>
      </c>
      <c r="AD88" s="11">
        <v>780427</v>
      </c>
      <c r="AE88" s="11">
        <v>1518256</v>
      </c>
      <c r="AF88" s="11">
        <v>214772</v>
      </c>
      <c r="AG88" s="11">
        <v>536285</v>
      </c>
      <c r="AH88" s="11">
        <v>9566</v>
      </c>
      <c r="AI88" s="11">
        <v>17757</v>
      </c>
      <c r="AJ88" s="11">
        <v>63575</v>
      </c>
      <c r="AK88" s="11">
        <v>163388</v>
      </c>
      <c r="AL88" s="11">
        <v>113186</v>
      </c>
      <c r="AM88" s="11">
        <v>354693</v>
      </c>
      <c r="AN88" s="11"/>
      <c r="AO88" s="11"/>
      <c r="AP88" s="11">
        <v>603571.661799778</v>
      </c>
      <c r="AQ88" s="11">
        <v>1513616.987693466</v>
      </c>
      <c r="AR88" s="11">
        <v>3353047</v>
      </c>
      <c r="AS88" s="11">
        <v>7293169</v>
      </c>
      <c r="AT88" s="11">
        <v>926997</v>
      </c>
      <c r="AU88" s="11">
        <v>1447076</v>
      </c>
      <c r="AV88" s="11">
        <v>63375</v>
      </c>
      <c r="AW88" s="11">
        <v>114375</v>
      </c>
      <c r="AX88" s="11">
        <v>133779</v>
      </c>
      <c r="AY88" s="11">
        <v>296403</v>
      </c>
      <c r="AZ88" s="11"/>
      <c r="BA88" s="11"/>
      <c r="BB88" s="11">
        <v>18232</v>
      </c>
      <c r="BC88" s="11">
        <v>80238</v>
      </c>
      <c r="BD88" s="11">
        <v>139967</v>
      </c>
      <c r="BE88" s="11">
        <v>325538</v>
      </c>
      <c r="BF88" s="11">
        <v>31671</v>
      </c>
      <c r="BG88" s="11">
        <v>38290</v>
      </c>
      <c r="BH88" s="11">
        <v>19318</v>
      </c>
      <c r="BI88" s="11">
        <v>34410</v>
      </c>
      <c r="BJ88" s="11"/>
      <c r="BK88" s="11"/>
      <c r="BL88" s="11">
        <v>323649</v>
      </c>
      <c r="BM88" s="11">
        <v>940414</v>
      </c>
      <c r="BN88" s="11">
        <v>484200</v>
      </c>
      <c r="BO88" s="11">
        <v>1571578</v>
      </c>
      <c r="BP88" s="11">
        <v>19352</v>
      </c>
      <c r="BQ88" s="11">
        <v>37768</v>
      </c>
      <c r="BR88" s="99">
        <f t="shared" si="38"/>
        <v>8251030.6617997782</v>
      </c>
      <c r="BS88" s="99">
        <f t="shared" si="39"/>
        <v>19356914.987693466</v>
      </c>
    </row>
    <row r="89" spans="1:71" x14ac:dyDescent="0.25">
      <c r="A89" s="11" t="s">
        <v>289</v>
      </c>
      <c r="B89" s="11">
        <v>504068</v>
      </c>
      <c r="C89" s="11">
        <v>829625</v>
      </c>
      <c r="D89" s="11">
        <v>542450</v>
      </c>
      <c r="E89" s="11">
        <v>629272</v>
      </c>
      <c r="F89" s="11">
        <v>48732837</v>
      </c>
      <c r="G89" s="11">
        <v>49489740</v>
      </c>
      <c r="H89" s="11">
        <v>1308016</v>
      </c>
      <c r="I89" s="11">
        <v>2377055</v>
      </c>
      <c r="J89" s="11">
        <v>20295294</v>
      </c>
      <c r="K89" s="11">
        <v>31561837</v>
      </c>
      <c r="L89" s="11">
        <v>4808452</v>
      </c>
      <c r="M89" s="11">
        <v>6266877</v>
      </c>
      <c r="N89" s="11">
        <v>2500682</v>
      </c>
      <c r="O89" s="11">
        <v>5058231</v>
      </c>
      <c r="P89" s="11">
        <v>65243</v>
      </c>
      <c r="Q89" s="11">
        <v>128861</v>
      </c>
      <c r="R89" s="11">
        <v>-138868</v>
      </c>
      <c r="S89" s="11">
        <v>-248186</v>
      </c>
      <c r="T89" s="11">
        <v>26394</v>
      </c>
      <c r="U89" s="11">
        <v>124707</v>
      </c>
      <c r="V89" s="11">
        <v>729618.54</v>
      </c>
      <c r="W89" s="11">
        <v>1573553.91</v>
      </c>
      <c r="X89" s="11">
        <v>3573480</v>
      </c>
      <c r="Y89" s="11">
        <v>5218286</v>
      </c>
      <c r="Z89" s="11">
        <v>2332502</v>
      </c>
      <c r="AA89" s="11">
        <v>3360058</v>
      </c>
      <c r="AB89" s="11">
        <v>-19960140</v>
      </c>
      <c r="AC89" s="11">
        <v>-28483792</v>
      </c>
      <c r="AD89" s="11">
        <v>8641209</v>
      </c>
      <c r="AE89" s="11">
        <v>20397552</v>
      </c>
      <c r="AF89" s="11">
        <v>12240771</v>
      </c>
      <c r="AG89" s="11">
        <v>18088269</v>
      </c>
      <c r="AH89" s="11">
        <v>134214</v>
      </c>
      <c r="AI89" s="11">
        <v>258682</v>
      </c>
      <c r="AJ89" s="11">
        <v>373176</v>
      </c>
      <c r="AK89" s="11">
        <v>1260186</v>
      </c>
      <c r="AL89" s="11">
        <v>-1047478</v>
      </c>
      <c r="AM89" s="11">
        <v>-2277651</v>
      </c>
      <c r="AN89" s="11">
        <v>655459</v>
      </c>
      <c r="AO89" s="11">
        <v>1233853</v>
      </c>
      <c r="AP89" s="11">
        <v>19700108.175096061</v>
      </c>
      <c r="AQ89" s="11">
        <v>29396859.440483175</v>
      </c>
      <c r="AR89" s="11">
        <v>22871297</v>
      </c>
      <c r="AS89" s="11">
        <v>38151830</v>
      </c>
      <c r="AT89" s="11">
        <v>9512202</v>
      </c>
      <c r="AU89" s="11">
        <v>19131176</v>
      </c>
      <c r="AV89" s="11">
        <v>101022</v>
      </c>
      <c r="AW89" s="11">
        <v>187447</v>
      </c>
      <c r="AX89" s="11">
        <v>14297525</v>
      </c>
      <c r="AY89" s="11">
        <v>22064760</v>
      </c>
      <c r="AZ89" s="11">
        <v>9167</v>
      </c>
      <c r="BA89" s="11">
        <v>21463</v>
      </c>
      <c r="BB89" s="11">
        <v>1780385</v>
      </c>
      <c r="BC89" s="11">
        <v>3990543</v>
      </c>
      <c r="BD89" s="11">
        <v>-4128659</v>
      </c>
      <c r="BE89" s="11">
        <v>-6335728</v>
      </c>
      <c r="BF89" s="11">
        <v>9765905</v>
      </c>
      <c r="BG89" s="11">
        <v>16213634</v>
      </c>
      <c r="BH89" s="11">
        <v>400345</v>
      </c>
      <c r="BI89" s="11">
        <v>766855</v>
      </c>
      <c r="BJ89" s="11">
        <v>3655612</v>
      </c>
      <c r="BK89" s="11">
        <v>6394494</v>
      </c>
      <c r="BL89" s="11">
        <v>5515428</v>
      </c>
      <c r="BM89" s="11">
        <v>17669500</v>
      </c>
      <c r="BN89" s="11">
        <v>11808926</v>
      </c>
      <c r="BO89" s="11">
        <v>18041378</v>
      </c>
      <c r="BP89" s="11">
        <v>5275426</v>
      </c>
      <c r="BQ89" s="11">
        <v>6482854</v>
      </c>
      <c r="BR89" s="99">
        <f t="shared" si="38"/>
        <v>186882068.71509606</v>
      </c>
      <c r="BS89" s="99">
        <f t="shared" si="39"/>
        <v>289024081.35048318</v>
      </c>
    </row>
    <row r="90" spans="1:71" x14ac:dyDescent="0.25">
      <c r="A90" s="11" t="s">
        <v>243</v>
      </c>
      <c r="B90" s="11">
        <v>480888</v>
      </c>
      <c r="C90" s="11">
        <v>824707</v>
      </c>
      <c r="D90" s="11">
        <v>1175218</v>
      </c>
      <c r="E90" s="11">
        <v>2519390</v>
      </c>
      <c r="F90" s="11">
        <v>14076355</v>
      </c>
      <c r="G90" s="11">
        <v>14296200</v>
      </c>
      <c r="H90" s="11">
        <v>4450940</v>
      </c>
      <c r="I90" s="11">
        <v>8248020</v>
      </c>
      <c r="J90" s="11">
        <v>22497448</v>
      </c>
      <c r="K90" s="11">
        <v>39664009</v>
      </c>
      <c r="L90" s="11">
        <v>5165000</v>
      </c>
      <c r="M90" s="11">
        <v>9591188</v>
      </c>
      <c r="N90" s="11">
        <v>8425140</v>
      </c>
      <c r="O90" s="11">
        <v>16905673</v>
      </c>
      <c r="P90" s="11">
        <v>1204039</v>
      </c>
      <c r="Q90" s="11">
        <v>2400101</v>
      </c>
      <c r="R90" s="11">
        <v>513373</v>
      </c>
      <c r="S90" s="11">
        <v>820426</v>
      </c>
      <c r="T90" s="11">
        <v>336976</v>
      </c>
      <c r="U90" s="11">
        <v>450499</v>
      </c>
      <c r="V90" s="11">
        <v>1932823.72</v>
      </c>
      <c r="W90" s="11">
        <v>3677802.26</v>
      </c>
      <c r="X90" s="11">
        <v>4970498</v>
      </c>
      <c r="Y90" s="11">
        <v>9530249</v>
      </c>
      <c r="Z90" s="11">
        <v>3008278</v>
      </c>
      <c r="AA90" s="11">
        <v>6584654</v>
      </c>
      <c r="AB90" s="11">
        <v>12987617</v>
      </c>
      <c r="AC90" s="11">
        <v>22806217</v>
      </c>
      <c r="AD90" s="11">
        <v>21665549</v>
      </c>
      <c r="AE90" s="11">
        <v>45515790</v>
      </c>
      <c r="AF90" s="11">
        <v>10869671</v>
      </c>
      <c r="AG90" s="11">
        <v>24249934</v>
      </c>
      <c r="AH90" s="11">
        <v>882057</v>
      </c>
      <c r="AI90" s="11">
        <v>1586290</v>
      </c>
      <c r="AJ90" s="11">
        <v>3090479</v>
      </c>
      <c r="AK90" s="11">
        <v>6013563</v>
      </c>
      <c r="AL90" s="11">
        <v>1955764</v>
      </c>
      <c r="AM90" s="11">
        <v>3624244</v>
      </c>
      <c r="AN90" s="11">
        <v>2156602</v>
      </c>
      <c r="AO90" s="11">
        <v>4082796</v>
      </c>
      <c r="AP90" s="11">
        <v>25442123.563137796</v>
      </c>
      <c r="AQ90" s="11">
        <v>48225244.465426899</v>
      </c>
      <c r="AR90" s="11">
        <v>59618725</v>
      </c>
      <c r="AS90" s="11">
        <v>122944602</v>
      </c>
      <c r="AT90" s="11">
        <v>26786463</v>
      </c>
      <c r="AU90" s="11">
        <v>52509835</v>
      </c>
      <c r="AV90" s="11">
        <v>316184</v>
      </c>
      <c r="AW90" s="11">
        <v>529651</v>
      </c>
      <c r="AX90" s="11">
        <v>10574053</v>
      </c>
      <c r="AY90" s="11">
        <v>22681716</v>
      </c>
      <c r="AZ90" s="11">
        <v>16976</v>
      </c>
      <c r="BA90" s="11">
        <v>39997</v>
      </c>
      <c r="BB90" s="11">
        <v>3847933</v>
      </c>
      <c r="BC90" s="11">
        <v>7453811</v>
      </c>
      <c r="BD90" s="11">
        <v>6769953</v>
      </c>
      <c r="BE90" s="11">
        <v>11926796</v>
      </c>
      <c r="BF90" s="11">
        <v>8633652</v>
      </c>
      <c r="BG90" s="11">
        <v>14965647</v>
      </c>
      <c r="BH90" s="11">
        <v>5935781</v>
      </c>
      <c r="BI90" s="11">
        <v>11034675</v>
      </c>
      <c r="BJ90" s="11">
        <v>12091623</v>
      </c>
      <c r="BK90" s="11">
        <v>20961381</v>
      </c>
      <c r="BL90" s="11">
        <v>12872488</v>
      </c>
      <c r="BM90" s="11">
        <v>22885683</v>
      </c>
      <c r="BN90" s="11">
        <v>31383981</v>
      </c>
      <c r="BO90" s="11">
        <v>63196257</v>
      </c>
      <c r="BP90" s="11">
        <v>3071112</v>
      </c>
      <c r="BQ90" s="11">
        <v>5471597</v>
      </c>
      <c r="BR90" s="99">
        <f t="shared" si="38"/>
        <v>329205763.2831378</v>
      </c>
      <c r="BS90" s="99">
        <f t="shared" si="39"/>
        <v>628218644.72542691</v>
      </c>
    </row>
    <row r="91" spans="1:71" x14ac:dyDescent="0.25">
      <c r="A91" s="11" t="s">
        <v>244</v>
      </c>
      <c r="B91" s="11">
        <v>423477</v>
      </c>
      <c r="C91" s="11">
        <v>774399</v>
      </c>
      <c r="D91" s="11">
        <v>1084765</v>
      </c>
      <c r="E91" s="11">
        <v>2113166</v>
      </c>
      <c r="F91" s="11">
        <v>12385955</v>
      </c>
      <c r="G91" s="11">
        <v>13389643</v>
      </c>
      <c r="H91" s="11">
        <v>4034284</v>
      </c>
      <c r="I91" s="11">
        <v>7264992</v>
      </c>
      <c r="J91" s="11">
        <v>21311891</v>
      </c>
      <c r="K91" s="11">
        <v>40776122</v>
      </c>
      <c r="L91" s="11">
        <v>4284781</v>
      </c>
      <c r="M91" s="11">
        <v>8179226</v>
      </c>
      <c r="N91" s="11">
        <v>8735970</v>
      </c>
      <c r="O91" s="11">
        <v>16912813</v>
      </c>
      <c r="P91" s="11">
        <v>1169520</v>
      </c>
      <c r="Q91" s="11">
        <v>2361954</v>
      </c>
      <c r="R91" s="11">
        <v>519434</v>
      </c>
      <c r="S91" s="11">
        <v>902368</v>
      </c>
      <c r="T91" s="11">
        <v>213107</v>
      </c>
      <c r="U91" s="11">
        <v>405913</v>
      </c>
      <c r="V91" s="11">
        <v>1997294.15</v>
      </c>
      <c r="W91" s="11">
        <v>3687987.79</v>
      </c>
      <c r="X91" s="11">
        <v>4657153</v>
      </c>
      <c r="Y91" s="11">
        <v>8860148</v>
      </c>
      <c r="Z91" s="11">
        <v>2690384</v>
      </c>
      <c r="AA91" s="11">
        <v>5075266</v>
      </c>
      <c r="AB91" s="11">
        <v>11957820</v>
      </c>
      <c r="AC91" s="11">
        <v>21676592</v>
      </c>
      <c r="AD91" s="11">
        <v>23569144</v>
      </c>
      <c r="AE91" s="11">
        <v>46018061</v>
      </c>
      <c r="AF91" s="11">
        <v>11348229</v>
      </c>
      <c r="AG91" s="11">
        <v>21667354</v>
      </c>
      <c r="AH91" s="11">
        <v>688495</v>
      </c>
      <c r="AI91" s="11">
        <v>1333339</v>
      </c>
      <c r="AJ91" s="11">
        <v>2869264</v>
      </c>
      <c r="AK91" s="11">
        <v>5432236</v>
      </c>
      <c r="AL91" s="11">
        <v>1691364</v>
      </c>
      <c r="AM91" s="11">
        <v>3335751</v>
      </c>
      <c r="AN91" s="11">
        <v>2102698</v>
      </c>
      <c r="AO91" s="11">
        <v>3185563</v>
      </c>
      <c r="AP91" s="11">
        <v>24479645.819337796</v>
      </c>
      <c r="AQ91" s="11">
        <v>49338502.137816899</v>
      </c>
      <c r="AR91" s="11">
        <v>58572073</v>
      </c>
      <c r="AS91" s="11">
        <v>112632552</v>
      </c>
      <c r="AT91" s="11">
        <v>26367558</v>
      </c>
      <c r="AU91" s="11">
        <v>52068929</v>
      </c>
      <c r="AV91" s="11">
        <v>268707</v>
      </c>
      <c r="AW91" s="11">
        <v>527961</v>
      </c>
      <c r="AX91" s="11">
        <v>10472386</v>
      </c>
      <c r="AY91" s="11">
        <v>19178900</v>
      </c>
      <c r="AZ91" s="11">
        <v>8610</v>
      </c>
      <c r="BA91" s="11">
        <v>20096</v>
      </c>
      <c r="BB91" s="11">
        <v>3939470</v>
      </c>
      <c r="BC91" s="11">
        <v>6794953</v>
      </c>
      <c r="BD91" s="11">
        <v>5713660</v>
      </c>
      <c r="BE91" s="11">
        <v>10971890</v>
      </c>
      <c r="BF91" s="11">
        <v>7005578</v>
      </c>
      <c r="BG91" s="11">
        <v>13497718</v>
      </c>
      <c r="BH91" s="11">
        <v>5648909</v>
      </c>
      <c r="BI91" s="11">
        <v>11111658</v>
      </c>
      <c r="BJ91" s="11">
        <v>10347342</v>
      </c>
      <c r="BK91" s="11">
        <v>18494999</v>
      </c>
      <c r="BL91" s="11">
        <v>12384104</v>
      </c>
      <c r="BM91" s="11">
        <v>24804598</v>
      </c>
      <c r="BN91" s="11">
        <v>30518128</v>
      </c>
      <c r="BO91" s="11">
        <v>62063336</v>
      </c>
      <c r="BP91" s="11">
        <v>2936047</v>
      </c>
      <c r="BQ91" s="11">
        <v>5342821</v>
      </c>
      <c r="BR91" s="99">
        <f t="shared" si="38"/>
        <v>316397246.96933782</v>
      </c>
      <c r="BS91" s="99">
        <f t="shared" si="39"/>
        <v>600201806.92781687</v>
      </c>
    </row>
  </sheetData>
  <mergeCells count="350">
    <mergeCell ref="BR85:BS85"/>
    <mergeCell ref="AV85:AW85"/>
    <mergeCell ref="AX85:AY85"/>
    <mergeCell ref="AZ85:BA85"/>
    <mergeCell ref="BB85:BC85"/>
    <mergeCell ref="BD85:BE85"/>
    <mergeCell ref="BF85:BG85"/>
    <mergeCell ref="AB85:AC85"/>
    <mergeCell ref="AD85:AE85"/>
    <mergeCell ref="AF85:AG85"/>
    <mergeCell ref="AH85:AI85"/>
    <mergeCell ref="BH85:BI85"/>
    <mergeCell ref="BJ85:BK85"/>
    <mergeCell ref="BL85:BM85"/>
    <mergeCell ref="BN85:BO85"/>
    <mergeCell ref="BP85:BQ85"/>
    <mergeCell ref="L85:M85"/>
    <mergeCell ref="N85:O85"/>
    <mergeCell ref="P85:Q85"/>
    <mergeCell ref="R85:S85"/>
    <mergeCell ref="T85:U85"/>
    <mergeCell ref="V85:W85"/>
    <mergeCell ref="BJ76:BK76"/>
    <mergeCell ref="BL76:BM76"/>
    <mergeCell ref="BN76:BO76"/>
    <mergeCell ref="AJ76:AK76"/>
    <mergeCell ref="N76:O76"/>
    <mergeCell ref="P76:Q76"/>
    <mergeCell ref="R76:S76"/>
    <mergeCell ref="T76:U76"/>
    <mergeCell ref="V76:W76"/>
    <mergeCell ref="X76:Y76"/>
    <mergeCell ref="AJ85:AK85"/>
    <mergeCell ref="AL85:AM85"/>
    <mergeCell ref="AN85:AO85"/>
    <mergeCell ref="AP85:AQ85"/>
    <mergeCell ref="AR85:AS85"/>
    <mergeCell ref="AT85:AU85"/>
    <mergeCell ref="X85:Y85"/>
    <mergeCell ref="Z85:AA85"/>
    <mergeCell ref="BP76:BQ76"/>
    <mergeCell ref="BR76:BS76"/>
    <mergeCell ref="B85:C85"/>
    <mergeCell ref="D85:E85"/>
    <mergeCell ref="F85:G85"/>
    <mergeCell ref="H85:I85"/>
    <mergeCell ref="J85:K85"/>
    <mergeCell ref="AX76:AY76"/>
    <mergeCell ref="AZ76:BA76"/>
    <mergeCell ref="BB76:BC76"/>
    <mergeCell ref="BD76:BE76"/>
    <mergeCell ref="BF76:BG76"/>
    <mergeCell ref="BH76:BI76"/>
    <mergeCell ref="AL76:AM76"/>
    <mergeCell ref="AN76:AO76"/>
    <mergeCell ref="AP76:AQ76"/>
    <mergeCell ref="AR76:AS76"/>
    <mergeCell ref="AT76:AU76"/>
    <mergeCell ref="AV76:AW76"/>
    <mergeCell ref="Z76:AA76"/>
    <mergeCell ref="AB76:AC76"/>
    <mergeCell ref="AD76:AE76"/>
    <mergeCell ref="AF76:AG76"/>
    <mergeCell ref="AH76:AI76"/>
    <mergeCell ref="B76:C76"/>
    <mergeCell ref="D76:E76"/>
    <mergeCell ref="F76:G76"/>
    <mergeCell ref="H76:I76"/>
    <mergeCell ref="J76:K76"/>
    <mergeCell ref="L76:M76"/>
    <mergeCell ref="BH67:BI67"/>
    <mergeCell ref="BJ67:BK67"/>
    <mergeCell ref="BL67:BM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R67:S67"/>
    <mergeCell ref="T67:U67"/>
    <mergeCell ref="V67:W67"/>
    <mergeCell ref="BJ58:BK58"/>
    <mergeCell ref="BL58:BM58"/>
    <mergeCell ref="BN58:BO58"/>
    <mergeCell ref="BP58:BQ58"/>
    <mergeCell ref="BR58:BS58"/>
    <mergeCell ref="B67:C67"/>
    <mergeCell ref="D67:E67"/>
    <mergeCell ref="F67:G67"/>
    <mergeCell ref="H67:I67"/>
    <mergeCell ref="J67:K67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58:C58"/>
    <mergeCell ref="D58:E58"/>
    <mergeCell ref="F58:G58"/>
    <mergeCell ref="H58:I58"/>
    <mergeCell ref="J58:K58"/>
    <mergeCell ref="L58:M58"/>
    <mergeCell ref="BH49:BI49"/>
    <mergeCell ref="BJ49:BK49"/>
    <mergeCell ref="BL49:BM49"/>
    <mergeCell ref="AJ49:AK49"/>
    <mergeCell ref="AL49:AM49"/>
    <mergeCell ref="AN49:AO49"/>
    <mergeCell ref="AP49:AQ49"/>
    <mergeCell ref="AR49:AS49"/>
    <mergeCell ref="AT49:AU49"/>
    <mergeCell ref="X49:Y49"/>
    <mergeCell ref="Z49:AA49"/>
    <mergeCell ref="AB49:AC49"/>
    <mergeCell ref="AD49:AE49"/>
    <mergeCell ref="AF49:AG49"/>
    <mergeCell ref="AH49:AI49"/>
    <mergeCell ref="L49:M49"/>
    <mergeCell ref="N49:O49"/>
    <mergeCell ref="P49:Q49"/>
    <mergeCell ref="BN49:BO49"/>
    <mergeCell ref="BP49:BQ49"/>
    <mergeCell ref="BR49:BS49"/>
    <mergeCell ref="AV49:AW49"/>
    <mergeCell ref="AX49:AY49"/>
    <mergeCell ref="AZ49:BA49"/>
    <mergeCell ref="BB49:BC49"/>
    <mergeCell ref="BD49:BE49"/>
    <mergeCell ref="BF49:BG49"/>
    <mergeCell ref="R49:S49"/>
    <mergeCell ref="T49:U49"/>
    <mergeCell ref="V49:W49"/>
    <mergeCell ref="BJ40:BK40"/>
    <mergeCell ref="BL40:BM40"/>
    <mergeCell ref="BN40:BO40"/>
    <mergeCell ref="BP40:BQ40"/>
    <mergeCell ref="BR40:BS40"/>
    <mergeCell ref="B49:C49"/>
    <mergeCell ref="D49:E49"/>
    <mergeCell ref="F49:G49"/>
    <mergeCell ref="H49:I49"/>
    <mergeCell ref="J49:K49"/>
    <mergeCell ref="AX40:AY40"/>
    <mergeCell ref="AZ40:BA40"/>
    <mergeCell ref="BB40:BC40"/>
    <mergeCell ref="BD40:BE40"/>
    <mergeCell ref="BF40:BG40"/>
    <mergeCell ref="BH40:BI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D40:AE40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BH31:BI31"/>
    <mergeCell ref="BJ31:BK31"/>
    <mergeCell ref="BL31:BM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R31:S31"/>
    <mergeCell ref="T31:U31"/>
    <mergeCell ref="V31:W31"/>
    <mergeCell ref="BJ22:BK22"/>
    <mergeCell ref="BL22:BM22"/>
    <mergeCell ref="BN22:BO22"/>
    <mergeCell ref="BP22:BQ22"/>
    <mergeCell ref="BR22:BS22"/>
    <mergeCell ref="B31:C31"/>
    <mergeCell ref="D31:E31"/>
    <mergeCell ref="F31:G31"/>
    <mergeCell ref="H31:I31"/>
    <mergeCell ref="J31:K31"/>
    <mergeCell ref="AX22:AY22"/>
    <mergeCell ref="AZ22:BA22"/>
    <mergeCell ref="BB22:BC22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Z22:AA22"/>
    <mergeCell ref="AB22:AC22"/>
    <mergeCell ref="AD22:AE22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BH13:BI13"/>
    <mergeCell ref="BJ13:BK13"/>
    <mergeCell ref="BL13:BM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R13:S13"/>
    <mergeCell ref="T13:U13"/>
    <mergeCell ref="V13:W13"/>
    <mergeCell ref="BJ4:BK4"/>
    <mergeCell ref="BL4:BM4"/>
    <mergeCell ref="BN4:BO4"/>
    <mergeCell ref="BP4:BQ4"/>
    <mergeCell ref="BR4:BS4"/>
    <mergeCell ref="B13:C13"/>
    <mergeCell ref="D13:E13"/>
    <mergeCell ref="F13:G13"/>
    <mergeCell ref="H13:I13"/>
    <mergeCell ref="J13:K13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 x14ac:dyDescent="0.25"/>
  <cols>
    <col min="1" max="1" width="45.140625" style="8" customWidth="1"/>
    <col min="2" max="71" width="16" style="8" customWidth="1"/>
    <col min="72" max="16384" width="9.140625" style="8"/>
  </cols>
  <sheetData>
    <row r="1" spans="1:71" ht="18.75" x14ac:dyDescent="0.3">
      <c r="A1" s="6" t="s">
        <v>241</v>
      </c>
    </row>
    <row r="2" spans="1:71" x14ac:dyDescent="0.25">
      <c r="A2" s="19" t="s">
        <v>48</v>
      </c>
    </row>
    <row r="3" spans="1:71" x14ac:dyDescent="0.25">
      <c r="A3" s="35" t="s">
        <v>230</v>
      </c>
    </row>
    <row r="4" spans="1:71" x14ac:dyDescent="0.25">
      <c r="A4" s="4" t="s">
        <v>0</v>
      </c>
      <c r="B4" s="105" t="s">
        <v>1</v>
      </c>
      <c r="C4" s="106"/>
      <c r="D4" s="105" t="s">
        <v>2</v>
      </c>
      <c r="E4" s="106"/>
      <c r="F4" s="105" t="s">
        <v>3</v>
      </c>
      <c r="G4" s="106"/>
      <c r="H4" s="105" t="s">
        <v>4</v>
      </c>
      <c r="I4" s="106"/>
      <c r="J4" s="105" t="s">
        <v>5</v>
      </c>
      <c r="K4" s="106"/>
      <c r="L4" s="105" t="s">
        <v>6</v>
      </c>
      <c r="M4" s="106"/>
      <c r="N4" s="105" t="s">
        <v>7</v>
      </c>
      <c r="O4" s="106"/>
      <c r="P4" s="105" t="s">
        <v>8</v>
      </c>
      <c r="Q4" s="106"/>
      <c r="R4" s="105" t="s">
        <v>9</v>
      </c>
      <c r="S4" s="106"/>
      <c r="T4" s="105" t="s">
        <v>10</v>
      </c>
      <c r="U4" s="106"/>
      <c r="V4" s="105" t="s">
        <v>11</v>
      </c>
      <c r="W4" s="106"/>
      <c r="X4" s="105" t="s">
        <v>12</v>
      </c>
      <c r="Y4" s="106"/>
      <c r="Z4" s="105" t="s">
        <v>13</v>
      </c>
      <c r="AA4" s="106"/>
      <c r="AB4" s="105" t="s">
        <v>14</v>
      </c>
      <c r="AC4" s="106"/>
      <c r="AD4" s="105" t="s">
        <v>15</v>
      </c>
      <c r="AE4" s="106"/>
      <c r="AF4" s="105" t="s">
        <v>16</v>
      </c>
      <c r="AG4" s="106"/>
      <c r="AH4" s="105" t="s">
        <v>17</v>
      </c>
      <c r="AI4" s="106"/>
      <c r="AJ4" s="105" t="s">
        <v>18</v>
      </c>
      <c r="AK4" s="106"/>
      <c r="AL4" s="105" t="s">
        <v>19</v>
      </c>
      <c r="AM4" s="106"/>
      <c r="AN4" s="105" t="s">
        <v>20</v>
      </c>
      <c r="AO4" s="106"/>
      <c r="AP4" s="105" t="s">
        <v>21</v>
      </c>
      <c r="AQ4" s="106"/>
      <c r="AR4" s="105" t="s">
        <v>22</v>
      </c>
      <c r="AS4" s="106"/>
      <c r="AT4" s="105" t="s">
        <v>23</v>
      </c>
      <c r="AU4" s="106"/>
      <c r="AV4" s="105" t="s">
        <v>24</v>
      </c>
      <c r="AW4" s="106"/>
      <c r="AX4" s="105" t="s">
        <v>25</v>
      </c>
      <c r="AY4" s="106"/>
      <c r="AZ4" s="105" t="s">
        <v>26</v>
      </c>
      <c r="BA4" s="106"/>
      <c r="BB4" s="105" t="s">
        <v>27</v>
      </c>
      <c r="BC4" s="106"/>
      <c r="BD4" s="105" t="s">
        <v>28</v>
      </c>
      <c r="BE4" s="106"/>
      <c r="BF4" s="105" t="s">
        <v>29</v>
      </c>
      <c r="BG4" s="106"/>
      <c r="BH4" s="105" t="s">
        <v>30</v>
      </c>
      <c r="BI4" s="106"/>
      <c r="BJ4" s="105" t="s">
        <v>31</v>
      </c>
      <c r="BK4" s="106"/>
      <c r="BL4" s="105" t="s">
        <v>32</v>
      </c>
      <c r="BM4" s="106"/>
      <c r="BN4" s="109" t="s">
        <v>33</v>
      </c>
      <c r="BO4" s="110"/>
      <c r="BP4" s="105" t="s">
        <v>34</v>
      </c>
      <c r="BQ4" s="106"/>
      <c r="BR4" s="107" t="s">
        <v>35</v>
      </c>
      <c r="BS4" s="108"/>
    </row>
    <row r="5" spans="1:71" ht="30" x14ac:dyDescent="0.25">
      <c r="A5" s="4"/>
      <c r="B5" s="76" t="s">
        <v>295</v>
      </c>
      <c r="C5" s="77" t="s">
        <v>296</v>
      </c>
      <c r="D5" s="76" t="s">
        <v>295</v>
      </c>
      <c r="E5" s="77" t="s">
        <v>296</v>
      </c>
      <c r="F5" s="76" t="s">
        <v>295</v>
      </c>
      <c r="G5" s="77" t="s">
        <v>296</v>
      </c>
      <c r="H5" s="76" t="s">
        <v>295</v>
      </c>
      <c r="I5" s="77" t="s">
        <v>296</v>
      </c>
      <c r="J5" s="76" t="s">
        <v>295</v>
      </c>
      <c r="K5" s="77" t="s">
        <v>296</v>
      </c>
      <c r="L5" s="76" t="s">
        <v>295</v>
      </c>
      <c r="M5" s="77" t="s">
        <v>296</v>
      </c>
      <c r="N5" s="76" t="s">
        <v>295</v>
      </c>
      <c r="O5" s="77" t="s">
        <v>296</v>
      </c>
      <c r="P5" s="76" t="s">
        <v>295</v>
      </c>
      <c r="Q5" s="77" t="s">
        <v>296</v>
      </c>
      <c r="R5" s="76" t="s">
        <v>295</v>
      </c>
      <c r="S5" s="77" t="s">
        <v>296</v>
      </c>
      <c r="T5" s="76" t="s">
        <v>295</v>
      </c>
      <c r="U5" s="77" t="s">
        <v>296</v>
      </c>
      <c r="V5" s="76" t="s">
        <v>295</v>
      </c>
      <c r="W5" s="77" t="s">
        <v>296</v>
      </c>
      <c r="X5" s="76" t="s">
        <v>295</v>
      </c>
      <c r="Y5" s="77" t="s">
        <v>296</v>
      </c>
      <c r="Z5" s="76" t="s">
        <v>295</v>
      </c>
      <c r="AA5" s="77" t="s">
        <v>296</v>
      </c>
      <c r="AB5" s="76" t="s">
        <v>295</v>
      </c>
      <c r="AC5" s="77" t="s">
        <v>296</v>
      </c>
      <c r="AD5" s="76" t="s">
        <v>295</v>
      </c>
      <c r="AE5" s="77" t="s">
        <v>296</v>
      </c>
      <c r="AF5" s="76" t="s">
        <v>295</v>
      </c>
      <c r="AG5" s="77" t="s">
        <v>296</v>
      </c>
      <c r="AH5" s="76" t="s">
        <v>295</v>
      </c>
      <c r="AI5" s="77" t="s">
        <v>296</v>
      </c>
      <c r="AJ5" s="76" t="s">
        <v>295</v>
      </c>
      <c r="AK5" s="77" t="s">
        <v>296</v>
      </c>
      <c r="AL5" s="76" t="s">
        <v>295</v>
      </c>
      <c r="AM5" s="77" t="s">
        <v>296</v>
      </c>
      <c r="AN5" s="76" t="s">
        <v>295</v>
      </c>
      <c r="AO5" s="77" t="s">
        <v>296</v>
      </c>
      <c r="AP5" s="76" t="s">
        <v>295</v>
      </c>
      <c r="AQ5" s="77" t="s">
        <v>296</v>
      </c>
      <c r="AR5" s="76" t="s">
        <v>295</v>
      </c>
      <c r="AS5" s="77" t="s">
        <v>296</v>
      </c>
      <c r="AT5" s="76" t="s">
        <v>295</v>
      </c>
      <c r="AU5" s="77" t="s">
        <v>296</v>
      </c>
      <c r="AV5" s="76" t="s">
        <v>295</v>
      </c>
      <c r="AW5" s="77" t="s">
        <v>296</v>
      </c>
      <c r="AX5" s="76" t="s">
        <v>295</v>
      </c>
      <c r="AY5" s="77" t="s">
        <v>296</v>
      </c>
      <c r="AZ5" s="76" t="s">
        <v>295</v>
      </c>
      <c r="BA5" s="77" t="s">
        <v>296</v>
      </c>
      <c r="BB5" s="76" t="s">
        <v>295</v>
      </c>
      <c r="BC5" s="77" t="s">
        <v>296</v>
      </c>
      <c r="BD5" s="76" t="s">
        <v>295</v>
      </c>
      <c r="BE5" s="77" t="s">
        <v>296</v>
      </c>
      <c r="BF5" s="76" t="s">
        <v>295</v>
      </c>
      <c r="BG5" s="77" t="s">
        <v>296</v>
      </c>
      <c r="BH5" s="76" t="s">
        <v>295</v>
      </c>
      <c r="BI5" s="77" t="s">
        <v>296</v>
      </c>
      <c r="BJ5" s="76" t="s">
        <v>295</v>
      </c>
      <c r="BK5" s="77" t="s">
        <v>296</v>
      </c>
      <c r="BL5" s="76" t="s">
        <v>295</v>
      </c>
      <c r="BM5" s="77" t="s">
        <v>296</v>
      </c>
      <c r="BN5" s="76" t="s">
        <v>295</v>
      </c>
      <c r="BO5" s="77" t="s">
        <v>296</v>
      </c>
      <c r="BP5" s="76" t="s">
        <v>295</v>
      </c>
      <c r="BQ5" s="77" t="s">
        <v>296</v>
      </c>
      <c r="BR5" s="95" t="s">
        <v>295</v>
      </c>
      <c r="BS5" s="96" t="s">
        <v>296</v>
      </c>
    </row>
    <row r="6" spans="1:71" x14ac:dyDescent="0.25">
      <c r="A6" s="28" t="s">
        <v>242</v>
      </c>
      <c r="B6" s="11"/>
      <c r="C6" s="11"/>
      <c r="D6" s="11"/>
      <c r="E6" s="11"/>
      <c r="F6" s="11"/>
      <c r="G6" s="11"/>
      <c r="H6" s="11"/>
      <c r="I6" s="11"/>
      <c r="J6" s="11">
        <v>942508</v>
      </c>
      <c r="K6" s="11">
        <v>1661213</v>
      </c>
      <c r="L6" s="11">
        <v>71801</v>
      </c>
      <c r="M6" s="11">
        <v>142145</v>
      </c>
      <c r="N6" s="11">
        <v>168363</v>
      </c>
      <c r="O6" s="11">
        <v>311258</v>
      </c>
      <c r="P6" s="11"/>
      <c r="Q6" s="11"/>
      <c r="R6" s="11">
        <v>1227</v>
      </c>
      <c r="S6" s="11">
        <v>1839</v>
      </c>
      <c r="T6" s="11"/>
      <c r="U6" s="11">
        <v>4</v>
      </c>
      <c r="V6" s="11"/>
      <c r="W6" s="11"/>
      <c r="X6" s="11">
        <v>361198</v>
      </c>
      <c r="Y6" s="11">
        <v>572892</v>
      </c>
      <c r="Z6" s="11">
        <v>612</v>
      </c>
      <c r="AA6" s="11">
        <v>612</v>
      </c>
      <c r="AB6" s="11">
        <v>841317</v>
      </c>
      <c r="AC6" s="11">
        <v>1333464</v>
      </c>
      <c r="AD6" s="11">
        <v>2764233</v>
      </c>
      <c r="AE6" s="11">
        <v>3707926</v>
      </c>
      <c r="AF6" s="11">
        <v>551692</v>
      </c>
      <c r="AG6" s="11">
        <v>1233386</v>
      </c>
      <c r="AH6" s="11">
        <v>9691</v>
      </c>
      <c r="AI6" s="11">
        <v>37283</v>
      </c>
      <c r="AJ6" s="11">
        <v>17587</v>
      </c>
      <c r="AK6" s="11">
        <v>66061</v>
      </c>
      <c r="AL6" s="11">
        <v>95159</v>
      </c>
      <c r="AM6" s="11">
        <v>109191</v>
      </c>
      <c r="AN6" s="11"/>
      <c r="AO6" s="11"/>
      <c r="AP6" s="11">
        <v>2774708.3229999999</v>
      </c>
      <c r="AQ6" s="11">
        <v>4953602.79</v>
      </c>
      <c r="AR6" s="11">
        <v>3813871</v>
      </c>
      <c r="AS6" s="11">
        <v>8254972</v>
      </c>
      <c r="AT6" s="11">
        <v>1728906</v>
      </c>
      <c r="AU6" s="11">
        <v>3150286</v>
      </c>
      <c r="AV6" s="11">
        <v>462</v>
      </c>
      <c r="AW6" s="11">
        <v>611</v>
      </c>
      <c r="AX6" s="11">
        <v>956331</v>
      </c>
      <c r="AY6" s="11">
        <v>1135855</v>
      </c>
      <c r="AZ6" s="11"/>
      <c r="BA6" s="11"/>
      <c r="BB6" s="11"/>
      <c r="BC6" s="11"/>
      <c r="BD6" s="11">
        <v>635183</v>
      </c>
      <c r="BE6" s="11">
        <v>840556</v>
      </c>
      <c r="BF6" s="11">
        <v>733079</v>
      </c>
      <c r="BG6" s="11">
        <v>1251387</v>
      </c>
      <c r="BH6" s="11">
        <v>25217</v>
      </c>
      <c r="BI6" s="11">
        <v>63005</v>
      </c>
      <c r="BJ6" s="11"/>
      <c r="BK6" s="11"/>
      <c r="BL6" s="11">
        <v>889836</v>
      </c>
      <c r="BM6" s="11">
        <v>1519048</v>
      </c>
      <c r="BN6" s="11">
        <v>1916822</v>
      </c>
      <c r="BO6" s="11">
        <v>3546629</v>
      </c>
      <c r="BP6" s="11">
        <v>96274</v>
      </c>
      <c r="BQ6" s="11">
        <v>140643</v>
      </c>
      <c r="BR6" s="99">
        <f>SUM(B6+D6+F6+H6+J6+L6+N6+P6+R6+T6+V6+X6+Z6+AB6+AD6+AF6+AH6+AJ6+AL6+AN6+AP6+AR6+AT6+AV6+AX6+AZ6+BB6+BD6+BF6+BH6+BJ6+BL6+BN6+BP6)</f>
        <v>19396077.322999999</v>
      </c>
      <c r="BS6" s="99">
        <f>SUM(C6+E6+G6+I6+K6+M6+O6+Q6+S6+U6+W6+Y6+AA6+AC6+AE6+AG6+AI6+AK6+AM6+AO6+AQ6+AS6+AU6+AW6+AY6+BA6+BC6+BE6+BG6+BI6+BK6+BM6+BO6+BQ6)</f>
        <v>34033868.789999999</v>
      </c>
    </row>
    <row r="7" spans="1:71" x14ac:dyDescent="0.25">
      <c r="A7" s="28" t="s">
        <v>290</v>
      </c>
      <c r="B7" s="11"/>
      <c r="C7" s="11"/>
      <c r="D7" s="11"/>
      <c r="E7" s="11"/>
      <c r="F7" s="11"/>
      <c r="G7" s="11"/>
      <c r="H7" s="11"/>
      <c r="I7" s="11"/>
      <c r="J7" s="11">
        <v>19637</v>
      </c>
      <c r="K7" s="11">
        <v>27956</v>
      </c>
      <c r="L7" s="11">
        <v>23258</v>
      </c>
      <c r="M7" s="11">
        <v>23399</v>
      </c>
      <c r="N7" s="11">
        <v>-19</v>
      </c>
      <c r="O7" s="11">
        <v>-1269</v>
      </c>
      <c r="P7" s="11"/>
      <c r="Q7" s="11"/>
      <c r="R7" s="11"/>
      <c r="S7" s="11"/>
      <c r="T7" s="11">
        <v>-3</v>
      </c>
      <c r="U7" s="11">
        <v>32</v>
      </c>
      <c r="V7" s="11"/>
      <c r="W7" s="11"/>
      <c r="X7" s="11">
        <v>5003</v>
      </c>
      <c r="Y7" s="11">
        <v>5276</v>
      </c>
      <c r="Z7" s="11">
        <v>64282</v>
      </c>
      <c r="AA7" s="11">
        <v>71232</v>
      </c>
      <c r="AB7" s="11"/>
      <c r="AC7" s="11"/>
      <c r="AD7" s="11"/>
      <c r="AE7" s="11"/>
      <c r="AF7" s="11">
        <v>6310</v>
      </c>
      <c r="AG7" s="11">
        <v>21242</v>
      </c>
      <c r="AH7" s="11">
        <v>-3</v>
      </c>
      <c r="AI7" s="11">
        <v>32</v>
      </c>
      <c r="AJ7" s="11">
        <v>67</v>
      </c>
      <c r="AK7" s="11">
        <v>932</v>
      </c>
      <c r="AL7" s="11"/>
      <c r="AM7" s="11"/>
      <c r="AN7" s="11"/>
      <c r="AO7" s="11"/>
      <c r="AP7" s="11">
        <v>179147.65700000006</v>
      </c>
      <c r="AQ7" s="11">
        <v>700300.69200000004</v>
      </c>
      <c r="AR7" s="11"/>
      <c r="AS7" s="11"/>
      <c r="AT7" s="11">
        <v>498632</v>
      </c>
      <c r="AU7" s="11">
        <v>680167</v>
      </c>
      <c r="AV7" s="11">
        <v>3</v>
      </c>
      <c r="AW7" s="11">
        <v>3</v>
      </c>
      <c r="AX7" s="11">
        <v>59555</v>
      </c>
      <c r="AY7" s="11">
        <v>91708</v>
      </c>
      <c r="AZ7" s="11"/>
      <c r="BA7" s="11"/>
      <c r="BB7" s="11"/>
      <c r="BC7" s="11"/>
      <c r="BD7" s="11"/>
      <c r="BE7" s="11"/>
      <c r="BF7" s="11">
        <v>50</v>
      </c>
      <c r="BG7" s="11">
        <v>50</v>
      </c>
      <c r="BH7" s="11">
        <v>-7</v>
      </c>
      <c r="BI7" s="11">
        <v>64</v>
      </c>
      <c r="BJ7" s="11"/>
      <c r="BK7" s="11"/>
      <c r="BL7" s="11">
        <v>100450</v>
      </c>
      <c r="BM7" s="11">
        <v>287551</v>
      </c>
      <c r="BN7" s="11">
        <v>273915</v>
      </c>
      <c r="BO7" s="11">
        <v>871586</v>
      </c>
      <c r="BP7" s="11">
        <v>146</v>
      </c>
      <c r="BQ7" s="11">
        <v>32</v>
      </c>
      <c r="BR7" s="99">
        <f t="shared" ref="BR7:BR11" si="0">SUM(B7+D7+F7+H7+J7+L7+N7+P7+R7+T7+V7+X7+Z7+AB7+AD7+AF7+AH7+AJ7+AL7+AN7+AP7+AR7+AT7+AV7+AX7+AZ7+BB7+BD7+BF7+BH7+BJ7+BL7+BN7+BP7)</f>
        <v>1230423.6570000001</v>
      </c>
      <c r="BS7" s="99">
        <f t="shared" ref="BS7:BS11" si="1">SUM(C7+E7+G7+I7+K7+M7+O7+Q7+S7+U7+W7+Y7+AA7+AC7+AE7+AG7+AI7+AK7+AM7+AO7+AQ7+AS7+AU7+AW7+AY7+BA7+BC7+BE7+BG7+BI7+BK7+BM7+BO7+BQ7)</f>
        <v>2780293.6919999998</v>
      </c>
    </row>
    <row r="8" spans="1:71" x14ac:dyDescent="0.25">
      <c r="A8" s="28" t="s">
        <v>291</v>
      </c>
      <c r="B8" s="11"/>
      <c r="C8" s="11"/>
      <c r="D8" s="11"/>
      <c r="E8" s="11"/>
      <c r="F8" s="11"/>
      <c r="G8" s="11"/>
      <c r="H8" s="11"/>
      <c r="I8" s="11"/>
      <c r="J8" s="11">
        <v>590171</v>
      </c>
      <c r="K8" s="11">
        <v>1019531</v>
      </c>
      <c r="L8" s="11">
        <v>64738</v>
      </c>
      <c r="M8" s="11">
        <v>117164</v>
      </c>
      <c r="N8" s="11">
        <v>78615</v>
      </c>
      <c r="O8" s="11">
        <v>140073</v>
      </c>
      <c r="P8" s="11"/>
      <c r="Q8" s="11"/>
      <c r="R8" s="11"/>
      <c r="S8" s="11"/>
      <c r="T8" s="11">
        <v>714</v>
      </c>
      <c r="U8" s="11">
        <v>-14803</v>
      </c>
      <c r="V8" s="11"/>
      <c r="W8" s="11"/>
      <c r="X8" s="11">
        <v>237961</v>
      </c>
      <c r="Y8" s="11">
        <v>367877</v>
      </c>
      <c r="Z8" s="11">
        <v>56644</v>
      </c>
      <c r="AA8" s="11">
        <v>62510</v>
      </c>
      <c r="AB8" s="11"/>
      <c r="AC8" s="11"/>
      <c r="AD8" s="11"/>
      <c r="AE8" s="11"/>
      <c r="AF8" s="11">
        <v>455784</v>
      </c>
      <c r="AG8" s="11">
        <v>1052072</v>
      </c>
      <c r="AH8" s="11">
        <v>6328</v>
      </c>
      <c r="AI8" s="11">
        <v>30699</v>
      </c>
      <c r="AJ8" s="11">
        <v>11110</v>
      </c>
      <c r="AK8" s="11">
        <v>51700</v>
      </c>
      <c r="AL8" s="11"/>
      <c r="AM8" s="11"/>
      <c r="AN8" s="11"/>
      <c r="AO8" s="11"/>
      <c r="AP8" s="11">
        <v>1810062.3360000001</v>
      </c>
      <c r="AQ8" s="11">
        <v>-19057.309000000001</v>
      </c>
      <c r="AR8" s="11"/>
      <c r="AS8" s="11"/>
      <c r="AT8" s="11">
        <v>945433</v>
      </c>
      <c r="AU8" s="11">
        <v>1579912</v>
      </c>
      <c r="AV8" s="11">
        <v>329</v>
      </c>
      <c r="AW8" s="11">
        <v>443</v>
      </c>
      <c r="AX8" s="11">
        <v>867058</v>
      </c>
      <c r="AY8" s="11">
        <v>1000841</v>
      </c>
      <c r="AZ8" s="11"/>
      <c r="BA8" s="11"/>
      <c r="BB8" s="11"/>
      <c r="BC8" s="11"/>
      <c r="BD8" s="11"/>
      <c r="BE8" s="11"/>
      <c r="BF8" s="11">
        <v>528402</v>
      </c>
      <c r="BG8" s="11">
        <v>850475</v>
      </c>
      <c r="BH8" s="11">
        <v>21351</v>
      </c>
      <c r="BI8" s="11">
        <v>38607</v>
      </c>
      <c r="BJ8" s="11"/>
      <c r="BK8" s="11"/>
      <c r="BL8" s="11">
        <v>797947</v>
      </c>
      <c r="BM8" s="11">
        <v>1462862</v>
      </c>
      <c r="BN8" s="11">
        <v>637941</v>
      </c>
      <c r="BO8" s="11">
        <v>2231426</v>
      </c>
      <c r="BP8" s="11">
        <v>13270</v>
      </c>
      <c r="BQ8" s="11">
        <v>42131</v>
      </c>
      <c r="BR8" s="99">
        <f t="shared" si="0"/>
        <v>7123858.3360000001</v>
      </c>
      <c r="BS8" s="99">
        <f t="shared" si="1"/>
        <v>10014462.691</v>
      </c>
    </row>
    <row r="9" spans="1:71" x14ac:dyDescent="0.25">
      <c r="A9" s="28" t="s">
        <v>294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>
        <v>30321</v>
      </c>
      <c r="M9" s="11">
        <v>48380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>
        <v>128239</v>
      </c>
      <c r="Y9" s="11">
        <v>210291</v>
      </c>
      <c r="Z9" s="11">
        <v>8250</v>
      </c>
      <c r="AA9" s="11">
        <v>9334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>
        <v>1143793.6439999999</v>
      </c>
      <c r="AQ9" s="11">
        <v>5672960.7910000002</v>
      </c>
      <c r="AR9" s="11"/>
      <c r="AS9" s="11"/>
      <c r="AT9" s="11"/>
      <c r="AU9" s="11"/>
      <c r="AV9" s="11"/>
      <c r="AW9" s="11"/>
      <c r="AX9" s="11">
        <v>148828</v>
      </c>
      <c r="AY9" s="11">
        <v>226722</v>
      </c>
      <c r="AZ9" s="11"/>
      <c r="BA9" s="11"/>
      <c r="BB9" s="11"/>
      <c r="BC9" s="11"/>
      <c r="BD9" s="11"/>
      <c r="BE9" s="11"/>
      <c r="BF9" s="11"/>
      <c r="BG9" s="11"/>
      <c r="BH9" s="11">
        <v>3859</v>
      </c>
      <c r="BI9" s="11">
        <v>24462</v>
      </c>
      <c r="BJ9" s="11"/>
      <c r="BK9" s="11"/>
      <c r="BL9" s="11"/>
      <c r="BM9" s="11"/>
      <c r="BN9" s="11"/>
      <c r="BO9" s="11"/>
      <c r="BP9" s="11"/>
      <c r="BQ9" s="11"/>
      <c r="BR9" s="99">
        <f t="shared" si="0"/>
        <v>1463290.6439999999</v>
      </c>
      <c r="BS9" s="99">
        <f t="shared" si="1"/>
        <v>6192149.7910000002</v>
      </c>
    </row>
    <row r="10" spans="1:71" x14ac:dyDescent="0.25">
      <c r="A10" s="28" t="s">
        <v>293</v>
      </c>
      <c r="B10" s="11"/>
      <c r="C10" s="11"/>
      <c r="D10" s="11"/>
      <c r="E10" s="11"/>
      <c r="F10" s="11"/>
      <c r="G10" s="11"/>
      <c r="H10" s="11"/>
      <c r="I10" s="11"/>
      <c r="J10" s="11">
        <v>467334</v>
      </c>
      <c r="K10" s="11">
        <v>2252615</v>
      </c>
      <c r="L10" s="11">
        <v>-8137</v>
      </c>
      <c r="M10" s="11">
        <v>322042</v>
      </c>
      <c r="N10" s="11">
        <v>78942</v>
      </c>
      <c r="O10" s="11">
        <v>392534</v>
      </c>
      <c r="P10" s="11"/>
      <c r="Q10" s="11"/>
      <c r="R10" s="11"/>
      <c r="S10" s="11"/>
      <c r="T10" s="11">
        <v>10461</v>
      </c>
      <c r="U10" s="11">
        <v>10461</v>
      </c>
      <c r="V10" s="11"/>
      <c r="W10" s="11"/>
      <c r="X10" s="11">
        <v>675184</v>
      </c>
      <c r="Y10" s="11">
        <v>675184</v>
      </c>
      <c r="Z10" s="11">
        <v>3871</v>
      </c>
      <c r="AA10" s="11">
        <v>124203</v>
      </c>
      <c r="AB10" s="11"/>
      <c r="AC10" s="11"/>
      <c r="AD10" s="11"/>
      <c r="AE10" s="11"/>
      <c r="AF10" s="11">
        <v>15459</v>
      </c>
      <c r="AG10" s="11">
        <v>818680</v>
      </c>
      <c r="AH10" s="11">
        <v>55998</v>
      </c>
      <c r="AI10" s="11">
        <v>55998</v>
      </c>
      <c r="AJ10" s="11">
        <v>789391</v>
      </c>
      <c r="AK10" s="11">
        <v>789391</v>
      </c>
      <c r="AL10" s="11"/>
      <c r="AM10" s="11"/>
      <c r="AN10" s="11"/>
      <c r="AO10" s="11"/>
      <c r="AP10" s="11">
        <v>750132.36799999932</v>
      </c>
      <c r="AQ10" s="11">
        <v>12592309.792999998</v>
      </c>
      <c r="AR10" s="11"/>
      <c r="AS10" s="11"/>
      <c r="AT10" s="11">
        <v>663850</v>
      </c>
      <c r="AU10" s="11">
        <v>24497582</v>
      </c>
      <c r="AV10" s="11">
        <v>3394</v>
      </c>
      <c r="AW10" s="11">
        <v>6402</v>
      </c>
      <c r="AX10" s="11">
        <v>1148803</v>
      </c>
      <c r="AY10" s="11">
        <v>1148803</v>
      </c>
      <c r="AZ10" s="11"/>
      <c r="BA10" s="11"/>
      <c r="BB10" s="11"/>
      <c r="BC10" s="11"/>
      <c r="BD10" s="11"/>
      <c r="BE10" s="11"/>
      <c r="BF10" s="11">
        <v>1581336</v>
      </c>
      <c r="BG10" s="11">
        <v>1581336</v>
      </c>
      <c r="BH10" s="11">
        <v>191133</v>
      </c>
      <c r="BI10" s="11">
        <v>191133</v>
      </c>
      <c r="BJ10" s="11"/>
      <c r="BK10" s="11"/>
      <c r="BL10" s="11">
        <v>6678</v>
      </c>
      <c r="BM10" s="11">
        <v>844750</v>
      </c>
      <c r="BN10" s="11">
        <v>19911772</v>
      </c>
      <c r="BO10" s="11">
        <v>19911772</v>
      </c>
      <c r="BP10" s="11">
        <v>46709</v>
      </c>
      <c r="BQ10" s="11">
        <v>426809</v>
      </c>
      <c r="BR10" s="99">
        <f t="shared" si="0"/>
        <v>26392310.368000001</v>
      </c>
      <c r="BS10" s="99">
        <f t="shared" si="1"/>
        <v>66642004.792999998</v>
      </c>
    </row>
    <row r="11" spans="1:71" x14ac:dyDescent="0.25">
      <c r="A11" s="28" t="s">
        <v>292</v>
      </c>
      <c r="B11" s="11"/>
      <c r="C11" s="11"/>
      <c r="D11" s="11"/>
      <c r="E11" s="11"/>
      <c r="F11" s="11"/>
      <c r="G11" s="11"/>
      <c r="H11" s="11"/>
      <c r="I11" s="11"/>
      <c r="J11" s="11"/>
      <c r="K11" s="11">
        <v>1508662</v>
      </c>
      <c r="L11" s="11"/>
      <c r="M11" s="11">
        <v>256889</v>
      </c>
      <c r="N11" s="11"/>
      <c r="O11" s="11">
        <v>227520</v>
      </c>
      <c r="P11" s="11"/>
      <c r="Q11" s="11"/>
      <c r="R11" s="11"/>
      <c r="S11" s="11"/>
      <c r="T11" s="11">
        <v>4687</v>
      </c>
      <c r="U11" s="11">
        <v>15895</v>
      </c>
      <c r="V11" s="11"/>
      <c r="W11" s="11"/>
      <c r="X11" s="11">
        <v>673067.1</v>
      </c>
      <c r="Y11" s="11">
        <v>637501</v>
      </c>
      <c r="Z11" s="11">
        <v>0</v>
      </c>
      <c r="AA11" s="11">
        <v>79663</v>
      </c>
      <c r="AB11" s="11"/>
      <c r="AC11" s="11"/>
      <c r="AD11" s="11"/>
      <c r="AE11" s="11"/>
      <c r="AF11" s="11"/>
      <c r="AG11" s="11">
        <v>815656</v>
      </c>
      <c r="AH11" s="11">
        <v>43084</v>
      </c>
      <c r="AI11" s="11">
        <v>26672</v>
      </c>
      <c r="AJ11" s="11">
        <v>1104635</v>
      </c>
      <c r="AK11" s="11">
        <v>1104635</v>
      </c>
      <c r="AL11" s="11"/>
      <c r="AM11" s="11"/>
      <c r="AN11" s="11"/>
      <c r="AO11" s="11"/>
      <c r="AP11" s="11">
        <v>0</v>
      </c>
      <c r="AQ11" s="11">
        <v>15448689.581999999</v>
      </c>
      <c r="AR11" s="11"/>
      <c r="AS11" s="11"/>
      <c r="AT11" s="11">
        <v>18162</v>
      </c>
      <c r="AU11" s="11">
        <v>23597313</v>
      </c>
      <c r="AV11" s="11"/>
      <c r="AW11" s="11">
        <v>2751</v>
      </c>
      <c r="AX11" s="11">
        <v>1082175</v>
      </c>
      <c r="AY11" s="11">
        <v>941474</v>
      </c>
      <c r="AZ11" s="11"/>
      <c r="BA11" s="11"/>
      <c r="BB11" s="11"/>
      <c r="BC11" s="11"/>
      <c r="BD11" s="11"/>
      <c r="BE11" s="11"/>
      <c r="BF11" s="11">
        <v>1548193</v>
      </c>
      <c r="BG11" s="11">
        <v>1090749</v>
      </c>
      <c r="BH11" s="11">
        <v>172552</v>
      </c>
      <c r="BI11" s="11">
        <v>186350</v>
      </c>
      <c r="BJ11" s="11"/>
      <c r="BK11" s="11"/>
      <c r="BL11" s="11">
        <v>1</v>
      </c>
      <c r="BM11" s="11">
        <v>756109</v>
      </c>
      <c r="BN11" s="11">
        <v>17972552</v>
      </c>
      <c r="BO11" s="11">
        <v>14350874</v>
      </c>
      <c r="BP11" s="11"/>
      <c r="BQ11" s="11">
        <v>320605</v>
      </c>
      <c r="BR11" s="99">
        <f t="shared" si="0"/>
        <v>22619108.100000001</v>
      </c>
      <c r="BS11" s="99">
        <f t="shared" si="1"/>
        <v>61368007.582000002</v>
      </c>
    </row>
    <row r="12" spans="1:71" x14ac:dyDescent="0.25">
      <c r="A12" s="28" t="s">
        <v>287</v>
      </c>
      <c r="B12" s="11"/>
      <c r="C12" s="11"/>
      <c r="D12" s="11"/>
      <c r="E12" s="11"/>
      <c r="F12" s="11"/>
      <c r="G12" s="11"/>
      <c r="H12" s="11"/>
      <c r="I12" s="11"/>
      <c r="J12" s="11">
        <v>839308</v>
      </c>
      <c r="K12" s="11">
        <v>1413591</v>
      </c>
      <c r="L12" s="11">
        <v>22184</v>
      </c>
      <c r="M12" s="11">
        <v>113533</v>
      </c>
      <c r="N12" s="11">
        <v>168671</v>
      </c>
      <c r="O12" s="11">
        <v>334930</v>
      </c>
      <c r="P12" s="11"/>
      <c r="Q12" s="11"/>
      <c r="R12" s="11">
        <v>3027</v>
      </c>
      <c r="S12" s="11">
        <v>-21743</v>
      </c>
      <c r="T12" s="11">
        <v>5057</v>
      </c>
      <c r="U12" s="11">
        <v>9405</v>
      </c>
      <c r="V12" s="11"/>
      <c r="W12" s="11"/>
      <c r="X12" s="11">
        <v>130357</v>
      </c>
      <c r="Y12" s="11">
        <v>247974</v>
      </c>
      <c r="Z12" s="11">
        <v>12121</v>
      </c>
      <c r="AA12" s="11">
        <v>53874</v>
      </c>
      <c r="AB12" s="11">
        <v>382362</v>
      </c>
      <c r="AC12" s="11">
        <v>563405</v>
      </c>
      <c r="AD12" s="11">
        <v>467954</v>
      </c>
      <c r="AE12" s="11">
        <v>885679</v>
      </c>
      <c r="AF12" s="11">
        <v>117677</v>
      </c>
      <c r="AG12" s="11">
        <v>205580</v>
      </c>
      <c r="AH12" s="11">
        <v>16274</v>
      </c>
      <c r="AI12" s="11">
        <v>35942</v>
      </c>
      <c r="AJ12" s="11">
        <v>-6530</v>
      </c>
      <c r="AK12" s="11">
        <v>11410</v>
      </c>
      <c r="AL12" s="11">
        <v>16520</v>
      </c>
      <c r="AM12" s="11">
        <v>28955</v>
      </c>
      <c r="AN12" s="11"/>
      <c r="AO12" s="11"/>
      <c r="AP12" s="11">
        <v>1893926.0119999992</v>
      </c>
      <c r="AQ12" s="11">
        <v>2816581.0020000003</v>
      </c>
      <c r="AR12" s="11">
        <v>2011660</v>
      </c>
      <c r="AS12" s="11">
        <v>9459917</v>
      </c>
      <c r="AT12" s="11">
        <v>1927793</v>
      </c>
      <c r="AU12" s="11">
        <v>3150810</v>
      </c>
      <c r="AV12" s="11">
        <v>3530</v>
      </c>
      <c r="AW12" s="11">
        <v>3822</v>
      </c>
      <c r="AX12" s="11">
        <v>215456</v>
      </c>
      <c r="AY12" s="11">
        <v>434051</v>
      </c>
      <c r="AZ12" s="11"/>
      <c r="BA12" s="11"/>
      <c r="BB12" s="11"/>
      <c r="BC12" s="11"/>
      <c r="BD12" s="11">
        <v>46921</v>
      </c>
      <c r="BE12" s="11">
        <v>128839</v>
      </c>
      <c r="BF12" s="11">
        <v>237870</v>
      </c>
      <c r="BG12" s="11">
        <v>891549</v>
      </c>
      <c r="BH12" s="11">
        <v>22440</v>
      </c>
      <c r="BI12" s="11">
        <v>29245</v>
      </c>
      <c r="BJ12" s="11"/>
      <c r="BK12" s="11"/>
      <c r="BL12" s="11">
        <v>199016</v>
      </c>
      <c r="BM12" s="11">
        <v>432378</v>
      </c>
      <c r="BN12" s="11">
        <v>3492016</v>
      </c>
      <c r="BO12" s="11">
        <v>7747687</v>
      </c>
      <c r="BP12" s="11">
        <v>129859</v>
      </c>
      <c r="BQ12" s="11">
        <v>204748</v>
      </c>
      <c r="BR12" s="99">
        <f>SUM(B12+D12+F12+H12+J12+L12+N12+P12+R12+T12+V12+X12+Z12+AB12+AD12+AF12+AH12+AJ12+AL12+AN12+AP12+AR12+AT12+AV12+AX12+AZ12+BB12+BD12+BF12+BH12+BJ12+BL12+BN12+BP12)</f>
        <v>12355469.011999998</v>
      </c>
      <c r="BS12" s="99">
        <f>SUM(C12+E12+G12+I12+K12+M12+O12+Q12+S12+U12+W12+Y12+AA12+AC12+AE12+AG12+AI12+AK12+AM12+AO12+AQ12+AS12+AU12+AW12+AY12+BA12+BC12+BE12+BG12+BI12+BK12+BM12+BO12+BQ12)</f>
        <v>29182162.002</v>
      </c>
    </row>
    <row r="13" spans="1:71" x14ac:dyDescent="0.25">
      <c r="A13" s="19"/>
    </row>
    <row r="14" spans="1:71" x14ac:dyDescent="0.25">
      <c r="A14" s="35" t="s">
        <v>231</v>
      </c>
    </row>
    <row r="15" spans="1:71" x14ac:dyDescent="0.25">
      <c r="A15" s="4" t="s">
        <v>0</v>
      </c>
      <c r="B15" s="105" t="s">
        <v>1</v>
      </c>
      <c r="C15" s="106"/>
      <c r="D15" s="105" t="s">
        <v>2</v>
      </c>
      <c r="E15" s="106"/>
      <c r="F15" s="105" t="s">
        <v>3</v>
      </c>
      <c r="G15" s="106"/>
      <c r="H15" s="105" t="s">
        <v>4</v>
      </c>
      <c r="I15" s="106"/>
      <c r="J15" s="105" t="s">
        <v>5</v>
      </c>
      <c r="K15" s="106"/>
      <c r="L15" s="105" t="s">
        <v>6</v>
      </c>
      <c r="M15" s="106"/>
      <c r="N15" s="105" t="s">
        <v>7</v>
      </c>
      <c r="O15" s="106"/>
      <c r="P15" s="105" t="s">
        <v>8</v>
      </c>
      <c r="Q15" s="106"/>
      <c r="R15" s="105" t="s">
        <v>9</v>
      </c>
      <c r="S15" s="106"/>
      <c r="T15" s="105" t="s">
        <v>10</v>
      </c>
      <c r="U15" s="106"/>
      <c r="V15" s="105" t="s">
        <v>11</v>
      </c>
      <c r="W15" s="106"/>
      <c r="X15" s="105" t="s">
        <v>12</v>
      </c>
      <c r="Y15" s="106"/>
      <c r="Z15" s="105" t="s">
        <v>13</v>
      </c>
      <c r="AA15" s="106"/>
      <c r="AB15" s="105" t="s">
        <v>14</v>
      </c>
      <c r="AC15" s="106"/>
      <c r="AD15" s="105" t="s">
        <v>15</v>
      </c>
      <c r="AE15" s="106"/>
      <c r="AF15" s="105" t="s">
        <v>16</v>
      </c>
      <c r="AG15" s="106"/>
      <c r="AH15" s="105" t="s">
        <v>17</v>
      </c>
      <c r="AI15" s="106"/>
      <c r="AJ15" s="105" t="s">
        <v>18</v>
      </c>
      <c r="AK15" s="106"/>
      <c r="AL15" s="105" t="s">
        <v>19</v>
      </c>
      <c r="AM15" s="106"/>
      <c r="AN15" s="105" t="s">
        <v>20</v>
      </c>
      <c r="AO15" s="106"/>
      <c r="AP15" s="105" t="s">
        <v>21</v>
      </c>
      <c r="AQ15" s="106"/>
      <c r="AR15" s="105" t="s">
        <v>22</v>
      </c>
      <c r="AS15" s="106"/>
      <c r="AT15" s="105" t="s">
        <v>23</v>
      </c>
      <c r="AU15" s="106"/>
      <c r="AV15" s="105" t="s">
        <v>24</v>
      </c>
      <c r="AW15" s="106"/>
      <c r="AX15" s="105" t="s">
        <v>25</v>
      </c>
      <c r="AY15" s="106"/>
      <c r="AZ15" s="105" t="s">
        <v>26</v>
      </c>
      <c r="BA15" s="106"/>
      <c r="BB15" s="105" t="s">
        <v>27</v>
      </c>
      <c r="BC15" s="106"/>
      <c r="BD15" s="105" t="s">
        <v>28</v>
      </c>
      <c r="BE15" s="106"/>
      <c r="BF15" s="105" t="s">
        <v>29</v>
      </c>
      <c r="BG15" s="106"/>
      <c r="BH15" s="105" t="s">
        <v>30</v>
      </c>
      <c r="BI15" s="106"/>
      <c r="BJ15" s="105" t="s">
        <v>31</v>
      </c>
      <c r="BK15" s="106"/>
      <c r="BL15" s="105" t="s">
        <v>32</v>
      </c>
      <c r="BM15" s="106"/>
      <c r="BN15" s="109" t="s">
        <v>33</v>
      </c>
      <c r="BO15" s="110"/>
      <c r="BP15" s="105" t="s">
        <v>34</v>
      </c>
      <c r="BQ15" s="106"/>
      <c r="BR15" s="107" t="s">
        <v>35</v>
      </c>
      <c r="BS15" s="108"/>
    </row>
    <row r="16" spans="1:71" ht="30" x14ac:dyDescent="0.25">
      <c r="A16" s="4"/>
      <c r="B16" s="76" t="s">
        <v>295</v>
      </c>
      <c r="C16" s="77" t="s">
        <v>296</v>
      </c>
      <c r="D16" s="76" t="s">
        <v>295</v>
      </c>
      <c r="E16" s="77" t="s">
        <v>296</v>
      </c>
      <c r="F16" s="76" t="s">
        <v>295</v>
      </c>
      <c r="G16" s="77" t="s">
        <v>296</v>
      </c>
      <c r="H16" s="76" t="s">
        <v>295</v>
      </c>
      <c r="I16" s="77" t="s">
        <v>296</v>
      </c>
      <c r="J16" s="76" t="s">
        <v>295</v>
      </c>
      <c r="K16" s="77" t="s">
        <v>296</v>
      </c>
      <c r="L16" s="76" t="s">
        <v>295</v>
      </c>
      <c r="M16" s="77" t="s">
        <v>296</v>
      </c>
      <c r="N16" s="76" t="s">
        <v>295</v>
      </c>
      <c r="O16" s="77" t="s">
        <v>296</v>
      </c>
      <c r="P16" s="76" t="s">
        <v>295</v>
      </c>
      <c r="Q16" s="77" t="s">
        <v>296</v>
      </c>
      <c r="R16" s="76" t="s">
        <v>295</v>
      </c>
      <c r="S16" s="77" t="s">
        <v>296</v>
      </c>
      <c r="T16" s="76" t="s">
        <v>295</v>
      </c>
      <c r="U16" s="77" t="s">
        <v>296</v>
      </c>
      <c r="V16" s="76" t="s">
        <v>295</v>
      </c>
      <c r="W16" s="77" t="s">
        <v>296</v>
      </c>
      <c r="X16" s="76" t="s">
        <v>295</v>
      </c>
      <c r="Y16" s="77" t="s">
        <v>296</v>
      </c>
      <c r="Z16" s="76" t="s">
        <v>295</v>
      </c>
      <c r="AA16" s="77" t="s">
        <v>296</v>
      </c>
      <c r="AB16" s="76" t="s">
        <v>295</v>
      </c>
      <c r="AC16" s="77" t="s">
        <v>296</v>
      </c>
      <c r="AD16" s="76" t="s">
        <v>295</v>
      </c>
      <c r="AE16" s="77" t="s">
        <v>296</v>
      </c>
      <c r="AF16" s="76" t="s">
        <v>295</v>
      </c>
      <c r="AG16" s="77" t="s">
        <v>296</v>
      </c>
      <c r="AH16" s="76" t="s">
        <v>295</v>
      </c>
      <c r="AI16" s="77" t="s">
        <v>296</v>
      </c>
      <c r="AJ16" s="76" t="s">
        <v>295</v>
      </c>
      <c r="AK16" s="77" t="s">
        <v>296</v>
      </c>
      <c r="AL16" s="76" t="s">
        <v>295</v>
      </c>
      <c r="AM16" s="77" t="s">
        <v>296</v>
      </c>
      <c r="AN16" s="76" t="s">
        <v>295</v>
      </c>
      <c r="AO16" s="77" t="s">
        <v>296</v>
      </c>
      <c r="AP16" s="76" t="s">
        <v>295</v>
      </c>
      <c r="AQ16" s="77" t="s">
        <v>296</v>
      </c>
      <c r="AR16" s="76" t="s">
        <v>295</v>
      </c>
      <c r="AS16" s="77" t="s">
        <v>296</v>
      </c>
      <c r="AT16" s="76" t="s">
        <v>295</v>
      </c>
      <c r="AU16" s="77" t="s">
        <v>296</v>
      </c>
      <c r="AV16" s="76" t="s">
        <v>295</v>
      </c>
      <c r="AW16" s="77" t="s">
        <v>296</v>
      </c>
      <c r="AX16" s="76" t="s">
        <v>295</v>
      </c>
      <c r="AY16" s="77" t="s">
        <v>296</v>
      </c>
      <c r="AZ16" s="76" t="s">
        <v>295</v>
      </c>
      <c r="BA16" s="77" t="s">
        <v>296</v>
      </c>
      <c r="BB16" s="76" t="s">
        <v>295</v>
      </c>
      <c r="BC16" s="77" t="s">
        <v>296</v>
      </c>
      <c r="BD16" s="76" t="s">
        <v>295</v>
      </c>
      <c r="BE16" s="77" t="s">
        <v>296</v>
      </c>
      <c r="BF16" s="76" t="s">
        <v>295</v>
      </c>
      <c r="BG16" s="77" t="s">
        <v>296</v>
      </c>
      <c r="BH16" s="76" t="s">
        <v>295</v>
      </c>
      <c r="BI16" s="77" t="s">
        <v>296</v>
      </c>
      <c r="BJ16" s="76" t="s">
        <v>295</v>
      </c>
      <c r="BK16" s="77" t="s">
        <v>296</v>
      </c>
      <c r="BL16" s="76" t="s">
        <v>295</v>
      </c>
      <c r="BM16" s="77" t="s">
        <v>296</v>
      </c>
      <c r="BN16" s="76" t="s">
        <v>295</v>
      </c>
      <c r="BO16" s="77" t="s">
        <v>296</v>
      </c>
      <c r="BP16" s="76" t="s">
        <v>295</v>
      </c>
      <c r="BQ16" s="77" t="s">
        <v>296</v>
      </c>
      <c r="BR16" s="95" t="s">
        <v>295</v>
      </c>
      <c r="BS16" s="96" t="s">
        <v>296</v>
      </c>
    </row>
    <row r="17" spans="1:71" x14ac:dyDescent="0.25">
      <c r="A17" s="28" t="s">
        <v>242</v>
      </c>
      <c r="B17" s="11"/>
      <c r="C17" s="11"/>
      <c r="D17" s="11"/>
      <c r="E17" s="11"/>
      <c r="F17" s="11"/>
      <c r="G17" s="11"/>
      <c r="H17" s="11"/>
      <c r="I17" s="11"/>
      <c r="J17" s="11">
        <v>282688</v>
      </c>
      <c r="K17" s="11">
        <v>519866</v>
      </c>
      <c r="L17" s="11">
        <v>141844</v>
      </c>
      <c r="M17" s="11">
        <v>213797</v>
      </c>
      <c r="N17" s="11">
        <v>200696</v>
      </c>
      <c r="O17" s="11">
        <v>339050</v>
      </c>
      <c r="P17" s="11"/>
      <c r="Q17" s="11"/>
      <c r="R17" s="11"/>
      <c r="S17" s="11"/>
      <c r="T17" s="11">
        <v>1288</v>
      </c>
      <c r="U17" s="11">
        <v>1288</v>
      </c>
      <c r="V17" s="11"/>
      <c r="W17" s="11"/>
      <c r="X17" s="11">
        <v>86864</v>
      </c>
      <c r="Y17" s="11">
        <v>154186</v>
      </c>
      <c r="Z17" s="11"/>
      <c r="AA17" s="11"/>
      <c r="AB17" s="11">
        <f>4004+285672</f>
        <v>289676</v>
      </c>
      <c r="AC17" s="11">
        <f>4400+539187</f>
        <v>543587</v>
      </c>
      <c r="AD17" s="11">
        <v>602721</v>
      </c>
      <c r="AE17" s="11">
        <v>1096597</v>
      </c>
      <c r="AF17" s="11">
        <v>250317</v>
      </c>
      <c r="AG17" s="11">
        <v>447797</v>
      </c>
      <c r="AH17" s="11"/>
      <c r="AI17" s="11"/>
      <c r="AJ17" s="11">
        <v>62544</v>
      </c>
      <c r="AK17" s="11">
        <v>95875</v>
      </c>
      <c r="AL17" s="11">
        <v>34338</v>
      </c>
      <c r="AM17" s="11">
        <v>60775</v>
      </c>
      <c r="AN17" s="11"/>
      <c r="AO17" s="11"/>
      <c r="AP17" s="11">
        <v>272112.95199999993</v>
      </c>
      <c r="AQ17" s="11">
        <v>512430.80799999996</v>
      </c>
      <c r="AR17" s="11">
        <v>1074618</v>
      </c>
      <c r="AS17" s="11">
        <v>1844727</v>
      </c>
      <c r="AT17" s="11">
        <v>927211</v>
      </c>
      <c r="AU17" s="11">
        <v>1410722</v>
      </c>
      <c r="AV17" s="11"/>
      <c r="AW17" s="11"/>
      <c r="AX17" s="11">
        <v>184035</v>
      </c>
      <c r="AY17" s="11">
        <v>545927</v>
      </c>
      <c r="AZ17" s="11"/>
      <c r="BA17" s="11"/>
      <c r="BB17" s="11"/>
      <c r="BC17" s="11"/>
      <c r="BD17" s="11">
        <v>72508</v>
      </c>
      <c r="BE17" s="11">
        <v>131575</v>
      </c>
      <c r="BF17" s="11">
        <v>40824</v>
      </c>
      <c r="BG17" s="11">
        <v>62680</v>
      </c>
      <c r="BH17" s="11">
        <v>1420</v>
      </c>
      <c r="BI17" s="11">
        <v>1995</v>
      </c>
      <c r="BJ17" s="11"/>
      <c r="BK17" s="11"/>
      <c r="BL17" s="11">
        <v>538097</v>
      </c>
      <c r="BM17" s="11">
        <v>930475</v>
      </c>
      <c r="BN17" s="11">
        <v>948418</v>
      </c>
      <c r="BO17" s="11">
        <v>1755926</v>
      </c>
      <c r="BP17" s="11">
        <v>18442</v>
      </c>
      <c r="BQ17" s="11">
        <f>319+35018</f>
        <v>35337</v>
      </c>
      <c r="BR17" s="99">
        <f>SUM(B17+D17+F17+H17+J17+L17+N17+P17+R17+T17+V17+X17+Z17+AB17+AD17+AF17+AH17+AJ17+AL17+AN17+AP17+AR17+AT17+AV17+AX17+AZ17+BB17+BD17+BF17+BH17+BJ17+BL17+BN17+BP17)</f>
        <v>6030661.9519999996</v>
      </c>
      <c r="BS17" s="99">
        <f>SUM(C17+E17+G17+I17+K17+M17+O17+Q17+S17+U17+W17+Y17+AA17+AC17+AE17+AG17+AI17+AK17+AM17+AO17+AQ17+AS17+AU17+AW17+AY17+BA17+BC17+BE17+BG17+BI17+BK17+BM17+BO17+BQ17)</f>
        <v>10704612.808</v>
      </c>
    </row>
    <row r="18" spans="1:71" x14ac:dyDescent="0.25">
      <c r="A18" s="28" t="s">
        <v>290</v>
      </c>
      <c r="B18" s="11"/>
      <c r="C18" s="11"/>
      <c r="D18" s="11"/>
      <c r="E18" s="11"/>
      <c r="F18" s="11"/>
      <c r="G18" s="11"/>
      <c r="H18" s="11"/>
      <c r="I18" s="11"/>
      <c r="J18" s="11">
        <v>5704</v>
      </c>
      <c r="K18" s="11">
        <v>5704</v>
      </c>
      <c r="L18" s="11">
        <v>4239</v>
      </c>
      <c r="M18" s="11">
        <v>7400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>
        <v>2620</v>
      </c>
      <c r="Y18" s="11">
        <v>3529</v>
      </c>
      <c r="Z18" s="11"/>
      <c r="AA18" s="11"/>
      <c r="AB18" s="11"/>
      <c r="AC18" s="11"/>
      <c r="AD18" s="11"/>
      <c r="AE18" s="11"/>
      <c r="AF18" s="11">
        <v>26</v>
      </c>
      <c r="AG18" s="11">
        <v>92</v>
      </c>
      <c r="AH18" s="11"/>
      <c r="AI18" s="11"/>
      <c r="AJ18" s="11"/>
      <c r="AK18" s="11"/>
      <c r="AL18" s="11"/>
      <c r="AM18" s="11"/>
      <c r="AN18" s="11"/>
      <c r="AO18" s="11"/>
      <c r="AP18" s="11">
        <v>6253.908999999996</v>
      </c>
      <c r="AQ18" s="11">
        <v>67704.665999999997</v>
      </c>
      <c r="AR18" s="11"/>
      <c r="AS18" s="11"/>
      <c r="AT18" s="11">
        <v>113773</v>
      </c>
      <c r="AU18" s="11">
        <v>227598</v>
      </c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>
        <v>9536</v>
      </c>
      <c r="BM18" s="11">
        <v>17149</v>
      </c>
      <c r="BN18" s="11">
        <v>-24999</v>
      </c>
      <c r="BO18" s="11">
        <v>162046</v>
      </c>
      <c r="BP18" s="11"/>
      <c r="BQ18" s="11"/>
      <c r="BR18" s="99">
        <f t="shared" ref="BR18:BR22" si="2">SUM(B18+D18+F18+H18+J18+L18+N18+P18+R18+T18+V18+X18+Z18+AB18+AD18+AF18+AH18+AJ18+AL18+AN18+AP18+AR18+AT18+AV18+AX18+AZ18+BB18+BD18+BF18+BH18+BJ18+BL18+BN18+BP18)</f>
        <v>117152.90899999999</v>
      </c>
      <c r="BS18" s="99">
        <f t="shared" ref="BS18:BS22" si="3">SUM(C18+E18+G18+I18+K18+M18+O18+Q18+S18+U18+W18+Y18+AA18+AC18+AE18+AG18+AI18+AK18+AM18+AO18+AQ18+AS18+AU18+AW18+AY18+BA18+BC18+BE18+BG18+BI18+BK18+BM18+BO18+BQ18)</f>
        <v>491222.66599999997</v>
      </c>
    </row>
    <row r="19" spans="1:71" x14ac:dyDescent="0.25">
      <c r="A19" s="28" t="s">
        <v>291</v>
      </c>
      <c r="B19" s="11"/>
      <c r="C19" s="11"/>
      <c r="D19" s="11"/>
      <c r="E19" s="11"/>
      <c r="F19" s="11"/>
      <c r="G19" s="11"/>
      <c r="H19" s="11"/>
      <c r="I19" s="11"/>
      <c r="J19" s="11">
        <v>67829</v>
      </c>
      <c r="K19" s="11">
        <v>115918</v>
      </c>
      <c r="L19" s="11">
        <v>59316</v>
      </c>
      <c r="M19" s="11">
        <v>80456</v>
      </c>
      <c r="N19" s="11">
        <v>167606</v>
      </c>
      <c r="O19" s="11">
        <v>288185</v>
      </c>
      <c r="P19" s="11"/>
      <c r="Q19" s="11"/>
      <c r="R19" s="11"/>
      <c r="S19" s="11"/>
      <c r="T19" s="11">
        <v>5455</v>
      </c>
      <c r="U19" s="11">
        <v>5602</v>
      </c>
      <c r="V19" s="11"/>
      <c r="W19" s="11"/>
      <c r="X19" s="11">
        <v>20324</v>
      </c>
      <c r="Y19" s="11">
        <v>39660</v>
      </c>
      <c r="Z19" s="11"/>
      <c r="AA19" s="11"/>
      <c r="AB19" s="11"/>
      <c r="AC19" s="11"/>
      <c r="AD19" s="11"/>
      <c r="AE19" s="11"/>
      <c r="AF19" s="11">
        <v>160003</v>
      </c>
      <c r="AG19" s="11">
        <v>268112</v>
      </c>
      <c r="AH19" s="11"/>
      <c r="AI19" s="11"/>
      <c r="AJ19" s="11">
        <v>14277</v>
      </c>
      <c r="AK19" s="11">
        <v>18456</v>
      </c>
      <c r="AL19" s="11"/>
      <c r="AM19" s="11"/>
      <c r="AN19" s="11"/>
      <c r="AO19" s="11"/>
      <c r="AP19" s="11">
        <v>77812.205000000002</v>
      </c>
      <c r="AQ19" s="11">
        <v>98920.195999999996</v>
      </c>
      <c r="AR19" s="11"/>
      <c r="AS19" s="11"/>
      <c r="AT19" s="11">
        <v>350524</v>
      </c>
      <c r="AU19" s="11">
        <v>268696</v>
      </c>
      <c r="AV19" s="11"/>
      <c r="AW19" s="11"/>
      <c r="AX19" s="11">
        <v>164581</v>
      </c>
      <c r="AY19" s="11">
        <v>513228</v>
      </c>
      <c r="AZ19" s="11"/>
      <c r="BA19" s="11"/>
      <c r="BB19" s="11"/>
      <c r="BC19" s="11"/>
      <c r="BD19" s="11"/>
      <c r="BE19" s="11"/>
      <c r="BF19" s="11">
        <v>2461</v>
      </c>
      <c r="BG19" s="11">
        <v>3889</v>
      </c>
      <c r="BH19" s="11">
        <v>73</v>
      </c>
      <c r="BI19" s="11">
        <v>102</v>
      </c>
      <c r="BJ19" s="11"/>
      <c r="BK19" s="11"/>
      <c r="BL19" s="11">
        <v>-15048</v>
      </c>
      <c r="BM19" s="11">
        <v>-15820</v>
      </c>
      <c r="BN19" s="11">
        <v>519174</v>
      </c>
      <c r="BO19" s="11">
        <v>817176</v>
      </c>
      <c r="BP19" s="11">
        <v>9115</v>
      </c>
      <c r="BQ19" s="11">
        <f>317+19542</f>
        <v>19859</v>
      </c>
      <c r="BR19" s="99">
        <f t="shared" si="2"/>
        <v>1603502.2050000001</v>
      </c>
      <c r="BS19" s="99">
        <f t="shared" si="3"/>
        <v>2522439.196</v>
      </c>
    </row>
    <row r="20" spans="1:71" x14ac:dyDescent="0.25">
      <c r="A20" s="28" t="s">
        <v>294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>
        <v>86767</v>
      </c>
      <c r="M20" s="11">
        <v>140741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>
        <v>69160</v>
      </c>
      <c r="Y20" s="11">
        <v>118055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>
        <v>200555.6559999999</v>
      </c>
      <c r="AQ20" s="11">
        <v>481215.27799999993</v>
      </c>
      <c r="AR20" s="11"/>
      <c r="AS20" s="11"/>
      <c r="AT20" s="11"/>
      <c r="AU20" s="11"/>
      <c r="AV20" s="11"/>
      <c r="AW20" s="11"/>
      <c r="AX20" s="11">
        <v>19454</v>
      </c>
      <c r="AY20" s="11">
        <v>32699</v>
      </c>
      <c r="AZ20" s="11"/>
      <c r="BA20" s="11"/>
      <c r="BB20" s="11"/>
      <c r="BC20" s="11"/>
      <c r="BD20" s="11"/>
      <c r="BE20" s="11"/>
      <c r="BF20" s="11"/>
      <c r="BG20" s="11"/>
      <c r="BH20" s="11">
        <v>1347</v>
      </c>
      <c r="BI20" s="11">
        <v>1894</v>
      </c>
      <c r="BJ20" s="11"/>
      <c r="BK20" s="11"/>
      <c r="BL20" s="11"/>
      <c r="BM20" s="11"/>
      <c r="BN20" s="11"/>
      <c r="BO20" s="11"/>
      <c r="BP20" s="11"/>
      <c r="BQ20" s="11"/>
      <c r="BR20" s="99">
        <f t="shared" si="2"/>
        <v>377283.6559999999</v>
      </c>
      <c r="BS20" s="99">
        <f t="shared" si="3"/>
        <v>774604.27799999993</v>
      </c>
    </row>
    <row r="21" spans="1:71" x14ac:dyDescent="0.25">
      <c r="A21" s="28" t="s">
        <v>293</v>
      </c>
      <c r="B21" s="11"/>
      <c r="C21" s="11"/>
      <c r="D21" s="11"/>
      <c r="E21" s="11"/>
      <c r="F21" s="11"/>
      <c r="G21" s="11"/>
      <c r="H21" s="11"/>
      <c r="I21" s="11"/>
      <c r="J21" s="11">
        <v>33344</v>
      </c>
      <c r="K21" s="11">
        <v>758337</v>
      </c>
      <c r="L21" s="11">
        <v>80992</v>
      </c>
      <c r="M21" s="11">
        <v>278763</v>
      </c>
      <c r="N21" s="11">
        <v>-10417</v>
      </c>
      <c r="O21" s="11">
        <v>72435</v>
      </c>
      <c r="P21" s="11"/>
      <c r="Q21" s="11"/>
      <c r="R21" s="11"/>
      <c r="S21" s="11"/>
      <c r="T21" s="11">
        <v>5009</v>
      </c>
      <c r="U21" s="11">
        <v>5009</v>
      </c>
      <c r="V21" s="11"/>
      <c r="W21" s="11"/>
      <c r="X21" s="11">
        <v>386980</v>
      </c>
      <c r="Y21" s="11">
        <v>386980</v>
      </c>
      <c r="Z21" s="11">
        <v>866</v>
      </c>
      <c r="AA21" s="11">
        <v>947</v>
      </c>
      <c r="AB21" s="11"/>
      <c r="AC21" s="11"/>
      <c r="AD21" s="11"/>
      <c r="AE21" s="11"/>
      <c r="AF21" s="11">
        <v>107767</v>
      </c>
      <c r="AG21" s="11">
        <v>670680</v>
      </c>
      <c r="AH21" s="11"/>
      <c r="AI21" s="11"/>
      <c r="AJ21" s="11">
        <v>204338</v>
      </c>
      <c r="AK21" s="11">
        <v>204338</v>
      </c>
      <c r="AL21" s="11"/>
      <c r="AM21" s="11"/>
      <c r="AN21" s="11"/>
      <c r="AO21" s="11"/>
      <c r="AP21" s="11">
        <v>100902.4889999998</v>
      </c>
      <c r="AQ21" s="11">
        <v>1943858.2699999996</v>
      </c>
      <c r="AR21" s="11"/>
      <c r="AS21" s="11"/>
      <c r="AT21" s="11">
        <v>-34133</v>
      </c>
      <c r="AU21" s="11">
        <v>6432160</v>
      </c>
      <c r="AV21" s="11">
        <v>-20</v>
      </c>
      <c r="AW21" s="11">
        <v>207</v>
      </c>
      <c r="AX21" s="11">
        <v>202926</v>
      </c>
      <c r="AY21" s="11">
        <v>202926</v>
      </c>
      <c r="AZ21" s="11"/>
      <c r="BA21" s="11"/>
      <c r="BB21" s="11"/>
      <c r="BC21" s="11"/>
      <c r="BD21" s="11"/>
      <c r="BE21" s="11"/>
      <c r="BF21" s="11">
        <v>184767</v>
      </c>
      <c r="BG21" s="11">
        <v>184767</v>
      </c>
      <c r="BH21" s="11">
        <v>21076</v>
      </c>
      <c r="BI21" s="11">
        <v>21076</v>
      </c>
      <c r="BJ21" s="11"/>
      <c r="BK21" s="11"/>
      <c r="BL21" s="11">
        <v>48033</v>
      </c>
      <c r="BM21" s="11">
        <v>1812847</v>
      </c>
      <c r="BN21" s="11">
        <v>4256703</v>
      </c>
      <c r="BO21" s="11">
        <v>4256703</v>
      </c>
      <c r="BP21" s="11">
        <f>5+4261</f>
        <v>4266</v>
      </c>
      <c r="BQ21" s="11">
        <f>33+33509</f>
        <v>33542</v>
      </c>
      <c r="BR21" s="99">
        <f t="shared" si="2"/>
        <v>5593399.4890000001</v>
      </c>
      <c r="BS21" s="99">
        <f t="shared" si="3"/>
        <v>17265575.27</v>
      </c>
    </row>
    <row r="22" spans="1:71" x14ac:dyDescent="0.25">
      <c r="A22" s="28" t="s">
        <v>292</v>
      </c>
      <c r="B22" s="11"/>
      <c r="C22" s="11"/>
      <c r="D22" s="11"/>
      <c r="E22" s="11"/>
      <c r="F22" s="11"/>
      <c r="G22" s="11"/>
      <c r="H22" s="11"/>
      <c r="I22" s="11"/>
      <c r="J22" s="11"/>
      <c r="K22" s="11">
        <v>697567</v>
      </c>
      <c r="L22" s="11"/>
      <c r="M22" s="11">
        <v>177448</v>
      </c>
      <c r="N22" s="11"/>
      <c r="O22" s="11">
        <v>57775</v>
      </c>
      <c r="P22" s="11"/>
      <c r="Q22" s="11"/>
      <c r="R22" s="11"/>
      <c r="S22" s="11"/>
      <c r="T22" s="11">
        <v>741</v>
      </c>
      <c r="U22" s="11">
        <v>591</v>
      </c>
      <c r="V22" s="11"/>
      <c r="W22" s="11"/>
      <c r="X22" s="11">
        <v>351314</v>
      </c>
      <c r="Y22" s="11">
        <v>354102</v>
      </c>
      <c r="Z22" s="11">
        <v>1</v>
      </c>
      <c r="AA22" s="11">
        <v>47</v>
      </c>
      <c r="AB22" s="11"/>
      <c r="AC22" s="11"/>
      <c r="AD22" s="11"/>
      <c r="AE22" s="11"/>
      <c r="AF22" s="11"/>
      <c r="AG22" s="11">
        <v>562250</v>
      </c>
      <c r="AH22" s="11"/>
      <c r="AI22" s="11"/>
      <c r="AJ22" s="11">
        <v>231338</v>
      </c>
      <c r="AK22" s="11">
        <v>231338</v>
      </c>
      <c r="AL22" s="11"/>
      <c r="AM22" s="11"/>
      <c r="AN22" s="11"/>
      <c r="AO22" s="11"/>
      <c r="AP22" s="11">
        <v>0</v>
      </c>
      <c r="AQ22" s="11">
        <v>1928950.92</v>
      </c>
      <c r="AR22" s="11"/>
      <c r="AS22" s="11"/>
      <c r="AT22" s="11"/>
      <c r="AU22" s="11">
        <v>6317377</v>
      </c>
      <c r="AV22" s="11"/>
      <c r="AW22" s="11">
        <v>221</v>
      </c>
      <c r="AX22" s="11">
        <v>196753</v>
      </c>
      <c r="AY22" s="11">
        <v>205550</v>
      </c>
      <c r="AZ22" s="11"/>
      <c r="BA22" s="11"/>
      <c r="BB22" s="11"/>
      <c r="BC22" s="11"/>
      <c r="BD22" s="11"/>
      <c r="BE22" s="11"/>
      <c r="BF22" s="11">
        <v>177996</v>
      </c>
      <c r="BG22" s="11">
        <v>167081</v>
      </c>
      <c r="BH22" s="11">
        <v>20496</v>
      </c>
      <c r="BI22" s="11">
        <v>18934</v>
      </c>
      <c r="BJ22" s="11"/>
      <c r="BK22" s="11"/>
      <c r="BL22" s="11"/>
      <c r="BM22" s="11">
        <v>1637597</v>
      </c>
      <c r="BN22" s="11">
        <v>4024613</v>
      </c>
      <c r="BO22" s="11">
        <v>4288452</v>
      </c>
      <c r="BP22" s="11"/>
      <c r="BQ22" s="11">
        <f>27+24432</f>
        <v>24459</v>
      </c>
      <c r="BR22" s="99">
        <f t="shared" si="2"/>
        <v>5003252</v>
      </c>
      <c r="BS22" s="99">
        <f t="shared" si="3"/>
        <v>16669739.92</v>
      </c>
    </row>
    <row r="23" spans="1:71" x14ac:dyDescent="0.25">
      <c r="A23" s="28" t="s">
        <v>287</v>
      </c>
      <c r="B23" s="11"/>
      <c r="C23" s="11"/>
      <c r="D23" s="11"/>
      <c r="E23" s="11"/>
      <c r="F23" s="11"/>
      <c r="G23" s="11"/>
      <c r="H23" s="11"/>
      <c r="I23" s="11"/>
      <c r="J23" s="11">
        <v>253907</v>
      </c>
      <c r="K23" s="11">
        <v>470422</v>
      </c>
      <c r="L23" s="11">
        <v>167759</v>
      </c>
      <c r="M23" s="11">
        <v>242056</v>
      </c>
      <c r="N23" s="11">
        <v>22673</v>
      </c>
      <c r="O23" s="11">
        <v>65525</v>
      </c>
      <c r="P23" s="11"/>
      <c r="Q23" s="11"/>
      <c r="R23" s="11"/>
      <c r="S23" s="11"/>
      <c r="T23" s="11">
        <v>101</v>
      </c>
      <c r="U23" s="11">
        <v>104</v>
      </c>
      <c r="V23" s="11"/>
      <c r="W23" s="11"/>
      <c r="X23" s="11">
        <v>104826</v>
      </c>
      <c r="Y23" s="11">
        <v>150933</v>
      </c>
      <c r="Z23" s="11">
        <v>866</v>
      </c>
      <c r="AA23" s="11">
        <v>900</v>
      </c>
      <c r="AB23" s="11">
        <f>149+144801</f>
        <v>144950</v>
      </c>
      <c r="AC23" s="11">
        <f>565+315888</f>
        <v>316453</v>
      </c>
      <c r="AD23" s="11">
        <v>418655</v>
      </c>
      <c r="AE23" s="11">
        <v>762157</v>
      </c>
      <c r="AF23" s="11">
        <v>198107</v>
      </c>
      <c r="AG23" s="11">
        <v>288207</v>
      </c>
      <c r="AH23" s="11"/>
      <c r="AI23" s="11"/>
      <c r="AJ23" s="11">
        <v>11760</v>
      </c>
      <c r="AK23" s="11">
        <v>69242</v>
      </c>
      <c r="AL23" s="11">
        <v>1807</v>
      </c>
      <c r="AM23" s="11">
        <v>5875</v>
      </c>
      <c r="AN23" s="11"/>
      <c r="AO23" s="11"/>
      <c r="AP23" s="11">
        <v>301458.14499999967</v>
      </c>
      <c r="AQ23" s="11">
        <v>496123.62799999956</v>
      </c>
      <c r="AR23" s="11">
        <v>801993</v>
      </c>
      <c r="AS23" s="11">
        <v>1310947</v>
      </c>
      <c r="AT23" s="11">
        <v>656327</v>
      </c>
      <c r="AU23" s="11">
        <v>1484407</v>
      </c>
      <c r="AV23" s="11">
        <v>-20</v>
      </c>
      <c r="AW23" s="11">
        <v>-14</v>
      </c>
      <c r="AX23" s="11">
        <v>25627</v>
      </c>
      <c r="AY23" s="11">
        <v>30075</v>
      </c>
      <c r="AZ23" s="11"/>
      <c r="BA23" s="11"/>
      <c r="BB23" s="11"/>
      <c r="BC23" s="11"/>
      <c r="BD23" s="11">
        <v>45798</v>
      </c>
      <c r="BE23" s="11">
        <v>68765</v>
      </c>
      <c r="BF23" s="11">
        <v>45134</v>
      </c>
      <c r="BG23" s="11">
        <v>76477</v>
      </c>
      <c r="BH23" s="11">
        <v>1927</v>
      </c>
      <c r="BI23" s="11">
        <v>4036</v>
      </c>
      <c r="BJ23" s="11"/>
      <c r="BK23" s="11"/>
      <c r="BL23" s="11">
        <v>610714</v>
      </c>
      <c r="BM23" s="11">
        <v>1138694</v>
      </c>
      <c r="BN23" s="11">
        <v>636335</v>
      </c>
      <c r="BO23" s="11">
        <v>1069047</v>
      </c>
      <c r="BP23" s="11">
        <f>5+13588</f>
        <v>13593</v>
      </c>
      <c r="BQ23" s="11">
        <f>8+24553</f>
        <v>24561</v>
      </c>
      <c r="BR23" s="99">
        <f>SUM(B23+D23+F23+H23+J23+L23+N23+P23+R23+T23+V23+X23+Z23+AB23+AD23+AF23+AH23+AJ23+AL23+AN23+AP23+AR23+AT23+AV23+AX23+AZ23+BB23+BD23+BF23+BH23+BJ23+BL23+BN23+BP23)</f>
        <v>4464297.1449999996</v>
      </c>
      <c r="BS23" s="99">
        <f>SUM(C23+E23+G23+I23+K23+M23+O23+Q23+S23+U23+W23+Y23+AA23+AC23+AE23+AG23+AI23+AK23+AM23+AO23+AQ23+AS23+AU23+AW23+AY23+BA23+BC23+BE23+BG23+BI23+BK23+BM23+BO23+BQ23)</f>
        <v>8074992.6279999996</v>
      </c>
    </row>
    <row r="24" spans="1:71" x14ac:dyDescent="0.25">
      <c r="A24" s="19"/>
    </row>
    <row r="25" spans="1:71" x14ac:dyDescent="0.25">
      <c r="A25" s="35" t="s">
        <v>232</v>
      </c>
    </row>
    <row r="26" spans="1:71" x14ac:dyDescent="0.25">
      <c r="A26" s="4" t="s">
        <v>0</v>
      </c>
      <c r="B26" s="105" t="s">
        <v>1</v>
      </c>
      <c r="C26" s="106"/>
      <c r="D26" s="105" t="s">
        <v>2</v>
      </c>
      <c r="E26" s="106"/>
      <c r="F26" s="105" t="s">
        <v>3</v>
      </c>
      <c r="G26" s="106"/>
      <c r="H26" s="105" t="s">
        <v>4</v>
      </c>
      <c r="I26" s="106"/>
      <c r="J26" s="105" t="s">
        <v>5</v>
      </c>
      <c r="K26" s="106"/>
      <c r="L26" s="105" t="s">
        <v>6</v>
      </c>
      <c r="M26" s="106"/>
      <c r="N26" s="105" t="s">
        <v>7</v>
      </c>
      <c r="O26" s="106"/>
      <c r="P26" s="105" t="s">
        <v>8</v>
      </c>
      <c r="Q26" s="106"/>
      <c r="R26" s="105" t="s">
        <v>9</v>
      </c>
      <c r="S26" s="106"/>
      <c r="T26" s="105" t="s">
        <v>10</v>
      </c>
      <c r="U26" s="106"/>
      <c r="V26" s="105" t="s">
        <v>11</v>
      </c>
      <c r="W26" s="106"/>
      <c r="X26" s="105" t="s">
        <v>12</v>
      </c>
      <c r="Y26" s="106"/>
      <c r="Z26" s="105" t="s">
        <v>13</v>
      </c>
      <c r="AA26" s="106"/>
      <c r="AB26" s="105" t="s">
        <v>14</v>
      </c>
      <c r="AC26" s="106"/>
      <c r="AD26" s="105" t="s">
        <v>15</v>
      </c>
      <c r="AE26" s="106"/>
      <c r="AF26" s="105" t="s">
        <v>16</v>
      </c>
      <c r="AG26" s="106"/>
      <c r="AH26" s="105" t="s">
        <v>17</v>
      </c>
      <c r="AI26" s="106"/>
      <c r="AJ26" s="105" t="s">
        <v>18</v>
      </c>
      <c r="AK26" s="106"/>
      <c r="AL26" s="105" t="s">
        <v>19</v>
      </c>
      <c r="AM26" s="106"/>
      <c r="AN26" s="105" t="s">
        <v>20</v>
      </c>
      <c r="AO26" s="106"/>
      <c r="AP26" s="105" t="s">
        <v>21</v>
      </c>
      <c r="AQ26" s="106"/>
      <c r="AR26" s="105" t="s">
        <v>22</v>
      </c>
      <c r="AS26" s="106"/>
      <c r="AT26" s="105" t="s">
        <v>23</v>
      </c>
      <c r="AU26" s="106"/>
      <c r="AV26" s="105" t="s">
        <v>24</v>
      </c>
      <c r="AW26" s="106"/>
      <c r="AX26" s="105" t="s">
        <v>25</v>
      </c>
      <c r="AY26" s="106"/>
      <c r="AZ26" s="105" t="s">
        <v>26</v>
      </c>
      <c r="BA26" s="106"/>
      <c r="BB26" s="105" t="s">
        <v>27</v>
      </c>
      <c r="BC26" s="106"/>
      <c r="BD26" s="105" t="s">
        <v>28</v>
      </c>
      <c r="BE26" s="106"/>
      <c r="BF26" s="105" t="s">
        <v>29</v>
      </c>
      <c r="BG26" s="106"/>
      <c r="BH26" s="105" t="s">
        <v>30</v>
      </c>
      <c r="BI26" s="106"/>
      <c r="BJ26" s="105" t="s">
        <v>31</v>
      </c>
      <c r="BK26" s="106"/>
      <c r="BL26" s="105" t="s">
        <v>32</v>
      </c>
      <c r="BM26" s="106"/>
      <c r="BN26" s="109" t="s">
        <v>33</v>
      </c>
      <c r="BO26" s="110"/>
      <c r="BP26" s="105" t="s">
        <v>34</v>
      </c>
      <c r="BQ26" s="106"/>
      <c r="BR26" s="107" t="s">
        <v>35</v>
      </c>
      <c r="BS26" s="108"/>
    </row>
    <row r="27" spans="1:71" ht="30" x14ac:dyDescent="0.25">
      <c r="A27" s="4"/>
      <c r="B27" s="76" t="s">
        <v>295</v>
      </c>
      <c r="C27" s="77" t="s">
        <v>296</v>
      </c>
      <c r="D27" s="76" t="s">
        <v>295</v>
      </c>
      <c r="E27" s="77" t="s">
        <v>296</v>
      </c>
      <c r="F27" s="76" t="s">
        <v>295</v>
      </c>
      <c r="G27" s="77" t="s">
        <v>296</v>
      </c>
      <c r="H27" s="76" t="s">
        <v>295</v>
      </c>
      <c r="I27" s="77" t="s">
        <v>296</v>
      </c>
      <c r="J27" s="76" t="s">
        <v>295</v>
      </c>
      <c r="K27" s="77" t="s">
        <v>296</v>
      </c>
      <c r="L27" s="76" t="s">
        <v>295</v>
      </c>
      <c r="M27" s="77" t="s">
        <v>296</v>
      </c>
      <c r="N27" s="76" t="s">
        <v>295</v>
      </c>
      <c r="O27" s="77" t="s">
        <v>296</v>
      </c>
      <c r="P27" s="76" t="s">
        <v>295</v>
      </c>
      <c r="Q27" s="77" t="s">
        <v>296</v>
      </c>
      <c r="R27" s="76" t="s">
        <v>295</v>
      </c>
      <c r="S27" s="77" t="s">
        <v>296</v>
      </c>
      <c r="T27" s="76" t="s">
        <v>295</v>
      </c>
      <c r="U27" s="77" t="s">
        <v>296</v>
      </c>
      <c r="V27" s="76" t="s">
        <v>295</v>
      </c>
      <c r="W27" s="77" t="s">
        <v>296</v>
      </c>
      <c r="X27" s="76" t="s">
        <v>295</v>
      </c>
      <c r="Y27" s="77" t="s">
        <v>296</v>
      </c>
      <c r="Z27" s="76" t="s">
        <v>295</v>
      </c>
      <c r="AA27" s="77" t="s">
        <v>296</v>
      </c>
      <c r="AB27" s="76" t="s">
        <v>295</v>
      </c>
      <c r="AC27" s="77" t="s">
        <v>296</v>
      </c>
      <c r="AD27" s="76" t="s">
        <v>295</v>
      </c>
      <c r="AE27" s="77" t="s">
        <v>296</v>
      </c>
      <c r="AF27" s="76" t="s">
        <v>295</v>
      </c>
      <c r="AG27" s="77" t="s">
        <v>296</v>
      </c>
      <c r="AH27" s="76" t="s">
        <v>295</v>
      </c>
      <c r="AI27" s="77" t="s">
        <v>296</v>
      </c>
      <c r="AJ27" s="76" t="s">
        <v>295</v>
      </c>
      <c r="AK27" s="77" t="s">
        <v>296</v>
      </c>
      <c r="AL27" s="76" t="s">
        <v>295</v>
      </c>
      <c r="AM27" s="77" t="s">
        <v>296</v>
      </c>
      <c r="AN27" s="76" t="s">
        <v>295</v>
      </c>
      <c r="AO27" s="77" t="s">
        <v>296</v>
      </c>
      <c r="AP27" s="76" t="s">
        <v>295</v>
      </c>
      <c r="AQ27" s="77" t="s">
        <v>296</v>
      </c>
      <c r="AR27" s="76" t="s">
        <v>295</v>
      </c>
      <c r="AS27" s="77" t="s">
        <v>296</v>
      </c>
      <c r="AT27" s="76" t="s">
        <v>295</v>
      </c>
      <c r="AU27" s="77" t="s">
        <v>296</v>
      </c>
      <c r="AV27" s="76" t="s">
        <v>295</v>
      </c>
      <c r="AW27" s="77" t="s">
        <v>296</v>
      </c>
      <c r="AX27" s="76" t="s">
        <v>295</v>
      </c>
      <c r="AY27" s="77" t="s">
        <v>296</v>
      </c>
      <c r="AZ27" s="76" t="s">
        <v>295</v>
      </c>
      <c r="BA27" s="77" t="s">
        <v>296</v>
      </c>
      <c r="BB27" s="76" t="s">
        <v>295</v>
      </c>
      <c r="BC27" s="77" t="s">
        <v>296</v>
      </c>
      <c r="BD27" s="76" t="s">
        <v>295</v>
      </c>
      <c r="BE27" s="77" t="s">
        <v>296</v>
      </c>
      <c r="BF27" s="76" t="s">
        <v>295</v>
      </c>
      <c r="BG27" s="77" t="s">
        <v>296</v>
      </c>
      <c r="BH27" s="76" t="s">
        <v>295</v>
      </c>
      <c r="BI27" s="77" t="s">
        <v>296</v>
      </c>
      <c r="BJ27" s="76" t="s">
        <v>295</v>
      </c>
      <c r="BK27" s="77" t="s">
        <v>296</v>
      </c>
      <c r="BL27" s="76" t="s">
        <v>295</v>
      </c>
      <c r="BM27" s="77" t="s">
        <v>296</v>
      </c>
      <c r="BN27" s="76" t="s">
        <v>295</v>
      </c>
      <c r="BO27" s="77" t="s">
        <v>296</v>
      </c>
      <c r="BP27" s="76" t="s">
        <v>295</v>
      </c>
      <c r="BQ27" s="77" t="s">
        <v>296</v>
      </c>
      <c r="BR27" s="95" t="s">
        <v>295</v>
      </c>
      <c r="BS27" s="96" t="s">
        <v>296</v>
      </c>
    </row>
    <row r="28" spans="1:71" x14ac:dyDescent="0.25">
      <c r="A28" s="28" t="s">
        <v>242</v>
      </c>
      <c r="B28" s="11">
        <v>156674</v>
      </c>
      <c r="C28" s="11">
        <v>257198</v>
      </c>
      <c r="D28" s="11"/>
      <c r="E28" s="11"/>
      <c r="F28" s="11"/>
      <c r="G28" s="11"/>
      <c r="H28" s="11"/>
      <c r="I28" s="11"/>
      <c r="J28" s="11">
        <v>5145455</v>
      </c>
      <c r="K28" s="11">
        <v>9197694</v>
      </c>
      <c r="L28" s="11">
        <v>1771821</v>
      </c>
      <c r="M28" s="11">
        <v>3414207</v>
      </c>
      <c r="N28" s="11">
        <v>3947573</v>
      </c>
      <c r="O28" s="11">
        <v>6583457</v>
      </c>
      <c r="P28" s="11"/>
      <c r="Q28" s="11"/>
      <c r="R28" s="11">
        <v>33287</v>
      </c>
      <c r="S28" s="11">
        <v>47898</v>
      </c>
      <c r="T28" s="11">
        <v>6596</v>
      </c>
      <c r="U28" s="11">
        <v>7131</v>
      </c>
      <c r="V28" s="11"/>
      <c r="W28" s="11"/>
      <c r="X28" s="11">
        <f>513045+895201</f>
        <v>1408246</v>
      </c>
      <c r="Y28" s="11">
        <f>716844+1729875</f>
        <v>2446719</v>
      </c>
      <c r="Z28" s="11">
        <v>627147</v>
      </c>
      <c r="AA28" s="11">
        <v>1007033</v>
      </c>
      <c r="AB28" s="11">
        <f>684177+3415234</f>
        <v>4099411</v>
      </c>
      <c r="AC28" s="11">
        <f>932387+6588986</f>
        <v>7521373</v>
      </c>
      <c r="AD28" s="11">
        <v>9861214</v>
      </c>
      <c r="AE28" s="11">
        <v>17217286</v>
      </c>
      <c r="AF28" s="11">
        <v>5827461</v>
      </c>
      <c r="AG28" s="11">
        <v>9900962</v>
      </c>
      <c r="AH28" s="11">
        <v>173816</v>
      </c>
      <c r="AI28" s="11">
        <v>323506</v>
      </c>
      <c r="AJ28" s="11">
        <f>780389+75429</f>
        <v>855818</v>
      </c>
      <c r="AK28" s="11">
        <f>1480353+144252</f>
        <v>1624605</v>
      </c>
      <c r="AL28" s="11">
        <v>601928</v>
      </c>
      <c r="AM28" s="11">
        <v>985553</v>
      </c>
      <c r="AN28" s="11"/>
      <c r="AO28" s="11"/>
      <c r="AP28" s="11">
        <v>12262421.357000001</v>
      </c>
      <c r="AQ28" s="11">
        <v>22225245.807</v>
      </c>
      <c r="AR28" s="11">
        <v>17704917</v>
      </c>
      <c r="AS28" s="11">
        <v>32120740</v>
      </c>
      <c r="AT28" s="11">
        <v>8283984</v>
      </c>
      <c r="AU28" s="11">
        <v>14517372</v>
      </c>
      <c r="AV28" s="11">
        <f>669+21581</f>
        <v>22250</v>
      </c>
      <c r="AW28" s="11">
        <f>937+29962</f>
        <v>30899</v>
      </c>
      <c r="AX28" s="11">
        <v>4395917</v>
      </c>
      <c r="AY28" s="11">
        <v>8439200</v>
      </c>
      <c r="AZ28" s="11"/>
      <c r="BA28" s="11"/>
      <c r="BB28" s="11"/>
      <c r="BC28" s="11"/>
      <c r="BD28" s="11">
        <v>3538218</v>
      </c>
      <c r="BE28" s="11">
        <v>6337994</v>
      </c>
      <c r="BF28" s="11">
        <v>1836054</v>
      </c>
      <c r="BG28" s="11">
        <v>3298047</v>
      </c>
      <c r="BH28" s="11">
        <v>3030105</v>
      </c>
      <c r="BI28" s="11">
        <v>4603178</v>
      </c>
      <c r="BJ28" s="11"/>
      <c r="BK28" s="11"/>
      <c r="BL28" s="11">
        <v>4240370</v>
      </c>
      <c r="BM28" s="11">
        <v>7400480</v>
      </c>
      <c r="BN28" s="11">
        <v>10814932</v>
      </c>
      <c r="BO28" s="11">
        <v>19827825</v>
      </c>
      <c r="BP28" s="11">
        <f>178067+747826</f>
        <v>925893</v>
      </c>
      <c r="BQ28" s="11">
        <v>1360773</v>
      </c>
      <c r="BR28" s="99">
        <f>SUM(B28+D28+F28+H28+J28+L28+N28+P28+R28+T28+V28+X28+Z28+AB28+AD28+AF28+AH28+AJ28+AL28+AN28+AP28+AR28+AT28+AV28+AX28+AZ28+BB28+BD28+BF28+BH28+BJ28+BL28+BN28+BP28)</f>
        <v>101571508.35699999</v>
      </c>
      <c r="BS28" s="99">
        <f>SUM(C28+E28+G28+I28+K28+M28+O28+Q28+S28+U28+W28+Y28+AA28+AC28+AE28+AG28+AI28+AK28+AM28+AO28+AQ28+AS28+AU28+AW28+AY28+BA28+BC28+BE28+BG28+BI28+BK28+BM28+BO28+BQ28)</f>
        <v>180696375.80699998</v>
      </c>
    </row>
    <row r="29" spans="1:71" x14ac:dyDescent="0.25">
      <c r="A29" s="28" t="s">
        <v>290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>
        <v>3736.0619999999999</v>
      </c>
      <c r="AQ29" s="11">
        <v>11810.05</v>
      </c>
      <c r="AR29" s="11"/>
      <c r="AS29" s="11"/>
      <c r="AT29" s="11">
        <v>8656</v>
      </c>
      <c r="AU29" s="11">
        <v>1741</v>
      </c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99">
        <f t="shared" ref="BR29:BR33" si="4">SUM(B29+D29+F29+H29+J29+L29+N29+P29+R29+T29+V29+X29+Z29+AB29+AD29+AF29+AH29+AJ29+AL29+AN29+AP29+AR29+AT29+AV29+AX29+AZ29+BB29+BD29+BF29+BH29+BJ29+BL29+BN29+BP29)</f>
        <v>12392.062</v>
      </c>
      <c r="BS29" s="99">
        <f t="shared" ref="BS29:BS33" si="5">SUM(C29+E29+G29+I29+K29+M29+O29+Q29+S29+U29+W29+Y29+AA29+AC29+AE29+AG29+AI29+AK29+AM29+AO29+AQ29+AS29+AU29+AW29+AY29+BA29+BC29+BE29+BG29+BI29+BK29+BM29+BO29+BQ29)</f>
        <v>13551.05</v>
      </c>
    </row>
    <row r="30" spans="1:71" x14ac:dyDescent="0.25">
      <c r="A30" s="28" t="s">
        <v>291</v>
      </c>
      <c r="B30" s="11">
        <v>89854</v>
      </c>
      <c r="C30" s="11">
        <v>146203</v>
      </c>
      <c r="D30" s="11"/>
      <c r="E30" s="11"/>
      <c r="F30" s="11"/>
      <c r="G30" s="11"/>
      <c r="H30" s="11"/>
      <c r="I30" s="11"/>
      <c r="J30" s="11">
        <v>589102</v>
      </c>
      <c r="K30" s="11">
        <v>979066</v>
      </c>
      <c r="L30" s="11">
        <v>120683</v>
      </c>
      <c r="M30" s="11">
        <v>226832</v>
      </c>
      <c r="N30" s="11">
        <v>570320</v>
      </c>
      <c r="O30" s="11">
        <v>981411</v>
      </c>
      <c r="P30" s="11"/>
      <c r="Q30" s="11"/>
      <c r="R30" s="11"/>
      <c r="S30" s="11"/>
      <c r="T30" s="11">
        <v>4762</v>
      </c>
      <c r="U30" s="11">
        <v>-67372</v>
      </c>
      <c r="V30" s="11"/>
      <c r="W30" s="11"/>
      <c r="X30" s="11">
        <f>25236+45120</f>
        <v>70356</v>
      </c>
      <c r="Y30" s="11">
        <f>34395+86941</f>
        <v>121336</v>
      </c>
      <c r="Z30" s="11">
        <v>112098</v>
      </c>
      <c r="AA30" s="11">
        <v>150955</v>
      </c>
      <c r="AB30" s="11"/>
      <c r="AC30" s="11"/>
      <c r="AD30" s="11"/>
      <c r="AE30" s="11"/>
      <c r="AF30" s="11">
        <v>1185126</v>
      </c>
      <c r="AG30" s="11">
        <v>1876281</v>
      </c>
      <c r="AH30" s="11">
        <v>9713</v>
      </c>
      <c r="AI30" s="11">
        <v>17905</v>
      </c>
      <c r="AJ30" s="11">
        <f>37984+3949</f>
        <v>41933</v>
      </c>
      <c r="AK30" s="11">
        <f>91652+7389</f>
        <v>99041</v>
      </c>
      <c r="AL30" s="11"/>
      <c r="AM30" s="11"/>
      <c r="AN30" s="11"/>
      <c r="AO30" s="11"/>
      <c r="AP30" s="11">
        <v>2395591.3789999997</v>
      </c>
      <c r="AQ30" s="11">
        <v>4342436.3470000001</v>
      </c>
      <c r="AR30" s="11"/>
      <c r="AS30" s="11"/>
      <c r="AT30" s="11">
        <v>-103897</v>
      </c>
      <c r="AU30" s="11">
        <v>85217</v>
      </c>
      <c r="AV30" s="11">
        <f>-33+1079</f>
        <v>1046</v>
      </c>
      <c r="AW30" s="11">
        <f>47+1502</f>
        <v>1549</v>
      </c>
      <c r="AX30" s="11">
        <v>1072948</v>
      </c>
      <c r="AY30" s="11">
        <v>2102104</v>
      </c>
      <c r="AZ30" s="11"/>
      <c r="BA30" s="11"/>
      <c r="BB30" s="11"/>
      <c r="BC30" s="11"/>
      <c r="BD30" s="11"/>
      <c r="BE30" s="11"/>
      <c r="BF30" s="11">
        <v>137891</v>
      </c>
      <c r="BG30" s="11">
        <v>220817</v>
      </c>
      <c r="BH30" s="11">
        <v>154749</v>
      </c>
      <c r="BI30" s="11">
        <v>245468</v>
      </c>
      <c r="BJ30" s="11"/>
      <c r="BK30" s="11"/>
      <c r="BL30" s="11">
        <v>1195512</v>
      </c>
      <c r="BM30" s="11">
        <v>2101220</v>
      </c>
      <c r="BN30" s="11">
        <v>3299492</v>
      </c>
      <c r="BO30" s="11">
        <v>3847947</v>
      </c>
      <c r="BP30" s="11">
        <f>40796+11006</f>
        <v>51802</v>
      </c>
      <c r="BQ30" s="11">
        <v>88875</v>
      </c>
      <c r="BR30" s="99">
        <f t="shared" si="4"/>
        <v>10999081.379000001</v>
      </c>
      <c r="BS30" s="99">
        <f t="shared" si="5"/>
        <v>17567291.346999999</v>
      </c>
    </row>
    <row r="31" spans="1:71" x14ac:dyDescent="0.25">
      <c r="A31" s="28" t="s">
        <v>294</v>
      </c>
      <c r="B31" s="11">
        <v>66820</v>
      </c>
      <c r="C31" s="11">
        <v>110995</v>
      </c>
      <c r="D31" s="11"/>
      <c r="E31" s="11"/>
      <c r="F31" s="11"/>
      <c r="G31" s="11"/>
      <c r="H31" s="11"/>
      <c r="I31" s="11"/>
      <c r="J31" s="11"/>
      <c r="K31" s="11"/>
      <c r="L31" s="11">
        <v>1651138</v>
      </c>
      <c r="M31" s="11">
        <v>3187375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>
        <f>487808+850081</f>
        <v>1337889</v>
      </c>
      <c r="Y31" s="11">
        <f>682448+1642933</f>
        <v>2325381</v>
      </c>
      <c r="Z31" s="11">
        <v>515049</v>
      </c>
      <c r="AA31" s="11">
        <v>856078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>
        <v>9870566.0400000028</v>
      </c>
      <c r="AQ31" s="11">
        <v>17894619.510000002</v>
      </c>
      <c r="AR31" s="11"/>
      <c r="AS31" s="11"/>
      <c r="AT31" s="11"/>
      <c r="AU31" s="11"/>
      <c r="AV31" s="11"/>
      <c r="AW31" s="11"/>
      <c r="AX31" s="11">
        <v>3322969</v>
      </c>
      <c r="AY31" s="11">
        <v>6337096</v>
      </c>
      <c r="AZ31" s="11"/>
      <c r="BA31" s="11"/>
      <c r="BB31" s="11"/>
      <c r="BC31" s="11"/>
      <c r="BD31" s="11"/>
      <c r="BE31" s="11"/>
      <c r="BF31" s="11"/>
      <c r="BG31" s="11"/>
      <c r="BH31" s="11">
        <v>2875355</v>
      </c>
      <c r="BI31" s="11">
        <v>4357710</v>
      </c>
      <c r="BJ31" s="11"/>
      <c r="BK31" s="11"/>
      <c r="BL31" s="11"/>
      <c r="BM31" s="11"/>
      <c r="BN31" s="11"/>
      <c r="BO31" s="11"/>
      <c r="BP31" s="11"/>
      <c r="BQ31" s="11"/>
      <c r="BR31" s="99">
        <f t="shared" si="4"/>
        <v>19639786.040000003</v>
      </c>
      <c r="BS31" s="99">
        <f t="shared" si="5"/>
        <v>35069254.510000005</v>
      </c>
    </row>
    <row r="32" spans="1:71" x14ac:dyDescent="0.25">
      <c r="A32" s="28" t="s">
        <v>293</v>
      </c>
      <c r="B32" s="11">
        <v>419632</v>
      </c>
      <c r="C32" s="11">
        <v>419632</v>
      </c>
      <c r="D32" s="11"/>
      <c r="E32" s="11"/>
      <c r="F32" s="11"/>
      <c r="G32" s="11"/>
      <c r="H32" s="11"/>
      <c r="I32" s="11"/>
      <c r="J32" s="11">
        <v>3306061</v>
      </c>
      <c r="K32" s="11">
        <v>64481144</v>
      </c>
      <c r="L32" s="11">
        <v>789734</v>
      </c>
      <c r="M32" s="11">
        <v>19718144</v>
      </c>
      <c r="N32" s="11">
        <v>2448953</v>
      </c>
      <c r="O32" s="11">
        <v>46548162</v>
      </c>
      <c r="P32" s="11"/>
      <c r="Q32" s="11"/>
      <c r="R32" s="11"/>
      <c r="S32" s="11"/>
      <c r="T32" s="11">
        <v>169712</v>
      </c>
      <c r="U32" s="11">
        <v>169712</v>
      </c>
      <c r="V32" s="11"/>
      <c r="W32" s="11"/>
      <c r="X32" s="11">
        <f>16131047+920016</f>
        <v>17051063</v>
      </c>
      <c r="Y32" s="11">
        <f>16131047+920016</f>
        <v>17051063</v>
      </c>
      <c r="Z32" s="11">
        <v>1437699</v>
      </c>
      <c r="AA32" s="11">
        <v>4945315</v>
      </c>
      <c r="AB32" s="11"/>
      <c r="AC32" s="11"/>
      <c r="AD32" s="11"/>
      <c r="AE32" s="11"/>
      <c r="AF32" s="11">
        <v>1711654</v>
      </c>
      <c r="AG32" s="11">
        <v>40403814</v>
      </c>
      <c r="AH32" s="11">
        <v>1742586</v>
      </c>
      <c r="AI32" s="11">
        <v>1742586</v>
      </c>
      <c r="AJ32" s="11">
        <f>565393+6827743</f>
        <v>7393136</v>
      </c>
      <c r="AK32" s="11">
        <f>6827743+565393</f>
        <v>7393136</v>
      </c>
      <c r="AL32" s="11"/>
      <c r="AM32" s="11"/>
      <c r="AN32" s="11"/>
      <c r="AO32" s="11"/>
      <c r="AP32" s="11">
        <v>4205151.1474596364</v>
      </c>
      <c r="AQ32" s="11">
        <v>127190252.30545963</v>
      </c>
      <c r="AR32" s="11"/>
      <c r="AS32" s="11"/>
      <c r="AT32" s="11">
        <v>3060685</v>
      </c>
      <c r="AU32" s="11">
        <v>109122280</v>
      </c>
      <c r="AV32" s="11">
        <f>-1551+137112</f>
        <v>135561</v>
      </c>
      <c r="AW32" s="11">
        <f>2977+1429811</f>
        <v>1432788</v>
      </c>
      <c r="AX32" s="11">
        <v>43429883</v>
      </c>
      <c r="AY32" s="11">
        <v>43429883</v>
      </c>
      <c r="AZ32" s="11"/>
      <c r="BA32" s="11"/>
      <c r="BB32" s="11"/>
      <c r="BC32" s="11"/>
      <c r="BD32" s="11"/>
      <c r="BE32" s="11"/>
      <c r="BF32" s="11">
        <v>15433103</v>
      </c>
      <c r="BG32" s="11">
        <v>15433103</v>
      </c>
      <c r="BH32" s="11">
        <v>60691869</v>
      </c>
      <c r="BI32" s="11">
        <v>60691869</v>
      </c>
      <c r="BJ32" s="11"/>
      <c r="BK32" s="11"/>
      <c r="BL32" s="11">
        <v>3278500</v>
      </c>
      <c r="BM32" s="11">
        <v>34872266</v>
      </c>
      <c r="BN32" s="11">
        <v>155479161</v>
      </c>
      <c r="BO32" s="11">
        <v>155479161</v>
      </c>
      <c r="BP32" s="11">
        <f>-7069+648299</f>
        <v>641230</v>
      </c>
      <c r="BQ32" s="11">
        <v>511533</v>
      </c>
      <c r="BR32" s="99">
        <f t="shared" si="4"/>
        <v>322825373.14745963</v>
      </c>
      <c r="BS32" s="99">
        <f t="shared" si="5"/>
        <v>751035843.30545962</v>
      </c>
    </row>
    <row r="33" spans="1:71" x14ac:dyDescent="0.25">
      <c r="A33" s="28" t="s">
        <v>292</v>
      </c>
      <c r="B33" s="11">
        <v>287806</v>
      </c>
      <c r="C33" s="11">
        <v>147214</v>
      </c>
      <c r="D33" s="11"/>
      <c r="E33" s="11"/>
      <c r="F33" s="11"/>
      <c r="G33" s="11"/>
      <c r="H33" s="11"/>
      <c r="I33" s="11"/>
      <c r="J33" s="11"/>
      <c r="K33" s="11">
        <v>57086160</v>
      </c>
      <c r="L33" s="11"/>
      <c r="M33" s="11">
        <v>18160687</v>
      </c>
      <c r="N33" s="11"/>
      <c r="O33" s="11">
        <v>40515485</v>
      </c>
      <c r="P33" s="11"/>
      <c r="Q33" s="11"/>
      <c r="R33" s="11"/>
      <c r="S33" s="11"/>
      <c r="T33" s="11">
        <v>81091</v>
      </c>
      <c r="U33" s="11">
        <v>76214</v>
      </c>
      <c r="V33" s="11"/>
      <c r="W33" s="11"/>
      <c r="X33" s="11">
        <f>16122906+861036</f>
        <v>16983942</v>
      </c>
      <c r="Y33" s="11">
        <f>15391351+808323</f>
        <v>16199674</v>
      </c>
      <c r="Z33" s="11">
        <v>0</v>
      </c>
      <c r="AA33" s="11">
        <v>2221534</v>
      </c>
      <c r="AB33" s="11"/>
      <c r="AC33" s="11"/>
      <c r="AD33" s="11"/>
      <c r="AE33" s="11"/>
      <c r="AF33" s="11"/>
      <c r="AG33" s="11">
        <v>35543029</v>
      </c>
      <c r="AH33" s="11">
        <v>1520081</v>
      </c>
      <c r="AI33" s="11">
        <v>1296747</v>
      </c>
      <c r="AJ33" s="11">
        <f>488164+5533892</f>
        <v>6022056</v>
      </c>
      <c r="AK33" s="11">
        <f>488164+5533892</f>
        <v>6022056</v>
      </c>
      <c r="AL33" s="11"/>
      <c r="AM33" s="11"/>
      <c r="AN33" s="11"/>
      <c r="AO33" s="11"/>
      <c r="AP33" s="11">
        <v>3.9999783039093018E-3</v>
      </c>
      <c r="AQ33" s="11">
        <v>120611039.62899995</v>
      </c>
      <c r="AR33" s="11"/>
      <c r="AS33" s="11"/>
      <c r="AT33" s="11"/>
      <c r="AU33" s="11">
        <v>101126016</v>
      </c>
      <c r="AV33" s="11"/>
      <c r="AW33" s="11">
        <f>2796+1086772</f>
        <v>1089568</v>
      </c>
      <c r="AX33" s="11">
        <v>42372418</v>
      </c>
      <c r="AY33" s="11">
        <v>40953020</v>
      </c>
      <c r="AZ33" s="11"/>
      <c r="BA33" s="11"/>
      <c r="BB33" s="11"/>
      <c r="BC33" s="11"/>
      <c r="BD33" s="11"/>
      <c r="BE33" s="11"/>
      <c r="BF33" s="11">
        <v>15226712</v>
      </c>
      <c r="BG33" s="11">
        <v>14680991</v>
      </c>
      <c r="BH33" s="11">
        <v>59841926</v>
      </c>
      <c r="BI33" s="11">
        <v>57492388</v>
      </c>
      <c r="BJ33" s="11"/>
      <c r="BK33" s="11"/>
      <c r="BL33" s="11"/>
      <c r="BM33" s="11">
        <v>28207084</v>
      </c>
      <c r="BN33" s="11">
        <v>147547282</v>
      </c>
      <c r="BO33" s="11">
        <v>141142353</v>
      </c>
      <c r="BP33" s="11"/>
      <c r="BQ33" s="11">
        <v>407518</v>
      </c>
      <c r="BR33" s="99">
        <f t="shared" si="4"/>
        <v>289883314.00399995</v>
      </c>
      <c r="BS33" s="99">
        <f t="shared" si="5"/>
        <v>682978777.62899995</v>
      </c>
    </row>
    <row r="34" spans="1:71" x14ac:dyDescent="0.25">
      <c r="A34" s="28" t="s">
        <v>287</v>
      </c>
      <c r="B34" s="11">
        <v>198646</v>
      </c>
      <c r="C34" s="11">
        <v>383413</v>
      </c>
      <c r="D34" s="11"/>
      <c r="E34" s="11"/>
      <c r="F34" s="11"/>
      <c r="G34" s="11"/>
      <c r="H34" s="11"/>
      <c r="I34" s="11"/>
      <c r="J34" s="11">
        <v>7862414</v>
      </c>
      <c r="K34" s="11">
        <v>15613612</v>
      </c>
      <c r="L34" s="11">
        <v>2440872</v>
      </c>
      <c r="M34" s="11">
        <v>4744832</v>
      </c>
      <c r="N34" s="11">
        <v>5826206</v>
      </c>
      <c r="O34" s="11">
        <v>11634723</v>
      </c>
      <c r="P34" s="11"/>
      <c r="Q34" s="11"/>
      <c r="R34" s="11">
        <v>141855</v>
      </c>
      <c r="S34" s="11">
        <v>219213</v>
      </c>
      <c r="T34" s="11">
        <v>90455</v>
      </c>
      <c r="U34" s="11">
        <v>168001</v>
      </c>
      <c r="V34" s="11"/>
      <c r="W34" s="11"/>
      <c r="X34" s="11">
        <f>495949+909061</f>
        <v>1405010</v>
      </c>
      <c r="Y34" s="11">
        <f>1422144+1754626</f>
        <v>3176770</v>
      </c>
      <c r="Z34" s="11">
        <v>1952748</v>
      </c>
      <c r="AA34" s="11">
        <v>3579859</v>
      </c>
      <c r="AB34" s="11">
        <f>2287094+2933985</f>
        <v>5221079</v>
      </c>
      <c r="AC34" s="11">
        <f>4362751+5585860</f>
        <v>9948611</v>
      </c>
      <c r="AD34" s="11">
        <v>12028785</v>
      </c>
      <c r="AE34" s="11">
        <v>23836401</v>
      </c>
      <c r="AF34" s="11">
        <v>6353989</v>
      </c>
      <c r="AG34" s="11">
        <v>12885466</v>
      </c>
      <c r="AH34" s="11">
        <v>386608</v>
      </c>
      <c r="AI34" s="11">
        <v>751440</v>
      </c>
      <c r="AJ34" s="11">
        <f>800245+740431</f>
        <v>1540676</v>
      </c>
      <c r="AK34" s="11">
        <f>1482314+1366052</f>
        <v>2848366</v>
      </c>
      <c r="AL34" s="11">
        <v>1371740</v>
      </c>
      <c r="AM34" s="11">
        <v>2600726</v>
      </c>
      <c r="AN34" s="11"/>
      <c r="AO34" s="11"/>
      <c r="AP34" s="11">
        <v>14075717.183459662</v>
      </c>
      <c r="AQ34" s="11">
        <v>24473832.18645969</v>
      </c>
      <c r="AR34" s="11">
        <v>29370826</v>
      </c>
      <c r="AS34" s="11">
        <v>42556894</v>
      </c>
      <c r="AT34" s="11">
        <v>11457221</v>
      </c>
      <c r="AU34" s="11">
        <v>22430161</v>
      </c>
      <c r="AV34" s="11">
        <f>-915+157614</f>
        <v>156699</v>
      </c>
      <c r="AW34" s="11">
        <f>1071+371500</f>
        <v>372571</v>
      </c>
      <c r="AX34" s="11">
        <v>4380434</v>
      </c>
      <c r="AY34" s="11">
        <v>8813959</v>
      </c>
      <c r="AZ34" s="11"/>
      <c r="BA34" s="11"/>
      <c r="BB34" s="11"/>
      <c r="BC34" s="11"/>
      <c r="BD34" s="11">
        <v>3930636</v>
      </c>
      <c r="BE34" s="11">
        <v>8019574</v>
      </c>
      <c r="BF34" s="11">
        <v>1904554</v>
      </c>
      <c r="BG34" s="11">
        <v>3829342</v>
      </c>
      <c r="BH34" s="11">
        <v>3725299</v>
      </c>
      <c r="BI34" s="11">
        <v>7557191</v>
      </c>
      <c r="BJ34" s="11"/>
      <c r="BK34" s="11"/>
      <c r="BL34" s="11">
        <v>6323358</v>
      </c>
      <c r="BM34" s="11">
        <v>11964442</v>
      </c>
      <c r="BN34" s="11">
        <v>15447319</v>
      </c>
      <c r="BO34" s="11">
        <v>30316686</v>
      </c>
      <c r="BP34" s="11">
        <f>699961+815360</f>
        <v>1515321</v>
      </c>
      <c r="BQ34" s="11">
        <v>1375913</v>
      </c>
      <c r="BR34" s="99">
        <f>SUM(B34+D34+F34+H34+J34+L34+N34+P34+R34+T34+V34+X34+Z34+AB34+AD34+AF34+AH34+AJ34+AL34+AN34+AP34+AR34+AT34+AV34+AX34+AZ34+BB34+BD34+BF34+BH34+BJ34+BL34+BN34+BP34)</f>
        <v>139108467.18345967</v>
      </c>
      <c r="BS34" s="99">
        <f>SUM(C34+E34+G34+I34+K34+M34+O34+Q34+S34+U34+W34+Y34+AA34+AC34+AE34+AG34+AI34+AK34+AM34+AO34+AQ34+AS34+AU34+AW34+AY34+BA34+BC34+BE34+BG34+BI34+BK34+BM34+BO34+BQ34)</f>
        <v>254101998.18645969</v>
      </c>
    </row>
    <row r="35" spans="1:71" x14ac:dyDescent="0.25">
      <c r="A35" s="19"/>
    </row>
    <row r="36" spans="1:71" x14ac:dyDescent="0.25">
      <c r="A36" s="35" t="s">
        <v>233</v>
      </c>
    </row>
    <row r="37" spans="1:71" x14ac:dyDescent="0.25">
      <c r="A37" s="4" t="s">
        <v>0</v>
      </c>
      <c r="B37" s="105" t="s">
        <v>1</v>
      </c>
      <c r="C37" s="106"/>
      <c r="D37" s="105" t="s">
        <v>2</v>
      </c>
      <c r="E37" s="106"/>
      <c r="F37" s="105" t="s">
        <v>3</v>
      </c>
      <c r="G37" s="106"/>
      <c r="H37" s="105" t="s">
        <v>4</v>
      </c>
      <c r="I37" s="106"/>
      <c r="J37" s="105" t="s">
        <v>5</v>
      </c>
      <c r="K37" s="106"/>
      <c r="L37" s="105" t="s">
        <v>6</v>
      </c>
      <c r="M37" s="106"/>
      <c r="N37" s="105" t="s">
        <v>7</v>
      </c>
      <c r="O37" s="106"/>
      <c r="P37" s="105" t="s">
        <v>8</v>
      </c>
      <c r="Q37" s="106"/>
      <c r="R37" s="105" t="s">
        <v>9</v>
      </c>
      <c r="S37" s="106"/>
      <c r="T37" s="105" t="s">
        <v>10</v>
      </c>
      <c r="U37" s="106"/>
      <c r="V37" s="105" t="s">
        <v>11</v>
      </c>
      <c r="W37" s="106"/>
      <c r="X37" s="105" t="s">
        <v>12</v>
      </c>
      <c r="Y37" s="106"/>
      <c r="Z37" s="105" t="s">
        <v>13</v>
      </c>
      <c r="AA37" s="106"/>
      <c r="AB37" s="105" t="s">
        <v>14</v>
      </c>
      <c r="AC37" s="106"/>
      <c r="AD37" s="105" t="s">
        <v>15</v>
      </c>
      <c r="AE37" s="106"/>
      <c r="AF37" s="105" t="s">
        <v>16</v>
      </c>
      <c r="AG37" s="106"/>
      <c r="AH37" s="105" t="s">
        <v>17</v>
      </c>
      <c r="AI37" s="106"/>
      <c r="AJ37" s="105" t="s">
        <v>18</v>
      </c>
      <c r="AK37" s="106"/>
      <c r="AL37" s="105" t="s">
        <v>19</v>
      </c>
      <c r="AM37" s="106"/>
      <c r="AN37" s="105" t="s">
        <v>20</v>
      </c>
      <c r="AO37" s="106"/>
      <c r="AP37" s="105" t="s">
        <v>21</v>
      </c>
      <c r="AQ37" s="106"/>
      <c r="AR37" s="105" t="s">
        <v>22</v>
      </c>
      <c r="AS37" s="106"/>
      <c r="AT37" s="105" t="s">
        <v>23</v>
      </c>
      <c r="AU37" s="106"/>
      <c r="AV37" s="105" t="s">
        <v>24</v>
      </c>
      <c r="AW37" s="106"/>
      <c r="AX37" s="105" t="s">
        <v>25</v>
      </c>
      <c r="AY37" s="106"/>
      <c r="AZ37" s="105" t="s">
        <v>26</v>
      </c>
      <c r="BA37" s="106"/>
      <c r="BB37" s="105" t="s">
        <v>27</v>
      </c>
      <c r="BC37" s="106"/>
      <c r="BD37" s="105" t="s">
        <v>28</v>
      </c>
      <c r="BE37" s="106"/>
      <c r="BF37" s="105" t="s">
        <v>29</v>
      </c>
      <c r="BG37" s="106"/>
      <c r="BH37" s="105" t="s">
        <v>30</v>
      </c>
      <c r="BI37" s="106"/>
      <c r="BJ37" s="105" t="s">
        <v>31</v>
      </c>
      <c r="BK37" s="106"/>
      <c r="BL37" s="105" t="s">
        <v>32</v>
      </c>
      <c r="BM37" s="106"/>
      <c r="BN37" s="109" t="s">
        <v>33</v>
      </c>
      <c r="BO37" s="110"/>
      <c r="BP37" s="105" t="s">
        <v>34</v>
      </c>
      <c r="BQ37" s="106"/>
      <c r="BR37" s="107" t="s">
        <v>35</v>
      </c>
      <c r="BS37" s="108"/>
    </row>
    <row r="38" spans="1:71" ht="30" x14ac:dyDescent="0.25">
      <c r="A38" s="4"/>
      <c r="B38" s="76" t="s">
        <v>295</v>
      </c>
      <c r="C38" s="77" t="s">
        <v>296</v>
      </c>
      <c r="D38" s="76" t="s">
        <v>295</v>
      </c>
      <c r="E38" s="77" t="s">
        <v>296</v>
      </c>
      <c r="F38" s="76" t="s">
        <v>295</v>
      </c>
      <c r="G38" s="77" t="s">
        <v>296</v>
      </c>
      <c r="H38" s="76" t="s">
        <v>295</v>
      </c>
      <c r="I38" s="77" t="s">
        <v>296</v>
      </c>
      <c r="J38" s="76" t="s">
        <v>295</v>
      </c>
      <c r="K38" s="77" t="s">
        <v>296</v>
      </c>
      <c r="L38" s="76" t="s">
        <v>295</v>
      </c>
      <c r="M38" s="77" t="s">
        <v>296</v>
      </c>
      <c r="N38" s="76" t="s">
        <v>295</v>
      </c>
      <c r="O38" s="77" t="s">
        <v>296</v>
      </c>
      <c r="P38" s="76" t="s">
        <v>295</v>
      </c>
      <c r="Q38" s="77" t="s">
        <v>296</v>
      </c>
      <c r="R38" s="76" t="s">
        <v>295</v>
      </c>
      <c r="S38" s="77" t="s">
        <v>296</v>
      </c>
      <c r="T38" s="76" t="s">
        <v>295</v>
      </c>
      <c r="U38" s="77" t="s">
        <v>296</v>
      </c>
      <c r="V38" s="76" t="s">
        <v>295</v>
      </c>
      <c r="W38" s="77" t="s">
        <v>296</v>
      </c>
      <c r="X38" s="76" t="s">
        <v>295</v>
      </c>
      <c r="Y38" s="77" t="s">
        <v>296</v>
      </c>
      <c r="Z38" s="76" t="s">
        <v>295</v>
      </c>
      <c r="AA38" s="77" t="s">
        <v>296</v>
      </c>
      <c r="AB38" s="76" t="s">
        <v>295</v>
      </c>
      <c r="AC38" s="77" t="s">
        <v>296</v>
      </c>
      <c r="AD38" s="76" t="s">
        <v>295</v>
      </c>
      <c r="AE38" s="77" t="s">
        <v>296</v>
      </c>
      <c r="AF38" s="76" t="s">
        <v>295</v>
      </c>
      <c r="AG38" s="77" t="s">
        <v>296</v>
      </c>
      <c r="AH38" s="76" t="s">
        <v>295</v>
      </c>
      <c r="AI38" s="77" t="s">
        <v>296</v>
      </c>
      <c r="AJ38" s="76" t="s">
        <v>295</v>
      </c>
      <c r="AK38" s="77" t="s">
        <v>296</v>
      </c>
      <c r="AL38" s="76" t="s">
        <v>295</v>
      </c>
      <c r="AM38" s="77" t="s">
        <v>296</v>
      </c>
      <c r="AN38" s="76" t="s">
        <v>295</v>
      </c>
      <c r="AO38" s="77" t="s">
        <v>296</v>
      </c>
      <c r="AP38" s="76" t="s">
        <v>295</v>
      </c>
      <c r="AQ38" s="77" t="s">
        <v>296</v>
      </c>
      <c r="AR38" s="76" t="s">
        <v>295</v>
      </c>
      <c r="AS38" s="77" t="s">
        <v>296</v>
      </c>
      <c r="AT38" s="76" t="s">
        <v>295</v>
      </c>
      <c r="AU38" s="77" t="s">
        <v>296</v>
      </c>
      <c r="AV38" s="76" t="s">
        <v>295</v>
      </c>
      <c r="AW38" s="77" t="s">
        <v>296</v>
      </c>
      <c r="AX38" s="76" t="s">
        <v>295</v>
      </c>
      <c r="AY38" s="77" t="s">
        <v>296</v>
      </c>
      <c r="AZ38" s="76" t="s">
        <v>295</v>
      </c>
      <c r="BA38" s="77" t="s">
        <v>296</v>
      </c>
      <c r="BB38" s="76" t="s">
        <v>295</v>
      </c>
      <c r="BC38" s="77" t="s">
        <v>296</v>
      </c>
      <c r="BD38" s="76" t="s">
        <v>295</v>
      </c>
      <c r="BE38" s="77" t="s">
        <v>296</v>
      </c>
      <c r="BF38" s="76" t="s">
        <v>295</v>
      </c>
      <c r="BG38" s="77" t="s">
        <v>296</v>
      </c>
      <c r="BH38" s="76" t="s">
        <v>295</v>
      </c>
      <c r="BI38" s="77" t="s">
        <v>296</v>
      </c>
      <c r="BJ38" s="76" t="s">
        <v>295</v>
      </c>
      <c r="BK38" s="77" t="s">
        <v>296</v>
      </c>
      <c r="BL38" s="76" t="s">
        <v>295</v>
      </c>
      <c r="BM38" s="77" t="s">
        <v>296</v>
      </c>
      <c r="BN38" s="76" t="s">
        <v>295</v>
      </c>
      <c r="BO38" s="77" t="s">
        <v>296</v>
      </c>
      <c r="BP38" s="76" t="s">
        <v>295</v>
      </c>
      <c r="BQ38" s="77" t="s">
        <v>296</v>
      </c>
      <c r="BR38" s="95" t="s">
        <v>295</v>
      </c>
      <c r="BS38" s="96" t="s">
        <v>296</v>
      </c>
    </row>
    <row r="39" spans="1:71" x14ac:dyDescent="0.25">
      <c r="A39" s="28" t="s">
        <v>242</v>
      </c>
      <c r="B39" s="11"/>
      <c r="C39" s="11"/>
      <c r="D39" s="11"/>
      <c r="E39" s="11"/>
      <c r="F39" s="11"/>
      <c r="G39" s="11"/>
      <c r="H39" s="11"/>
      <c r="I39" s="11"/>
      <c r="J39" s="11">
        <v>128231</v>
      </c>
      <c r="K39" s="11">
        <v>243557</v>
      </c>
      <c r="L39" s="11">
        <v>222789</v>
      </c>
      <c r="M39" s="11">
        <v>251304</v>
      </c>
      <c r="N39" s="11">
        <v>21827</v>
      </c>
      <c r="O39" s="11">
        <v>40235</v>
      </c>
      <c r="P39" s="11"/>
      <c r="Q39" s="11"/>
      <c r="R39" s="11">
        <v>-3</v>
      </c>
      <c r="S39" s="11"/>
      <c r="T39" s="11"/>
      <c r="U39" s="11"/>
      <c r="V39" s="11"/>
      <c r="W39" s="11"/>
      <c r="X39" s="11">
        <v>17240</v>
      </c>
      <c r="Y39" s="11">
        <v>71318</v>
      </c>
      <c r="Z39" s="11"/>
      <c r="AA39" s="11"/>
      <c r="AB39" s="11">
        <v>211970</v>
      </c>
      <c r="AC39" s="11">
        <v>420013</v>
      </c>
      <c r="AD39" s="11">
        <v>260222</v>
      </c>
      <c r="AE39" s="11">
        <v>428618</v>
      </c>
      <c r="AF39" s="11">
        <v>72367</v>
      </c>
      <c r="AG39" s="11">
        <v>129320</v>
      </c>
      <c r="AH39" s="11"/>
      <c r="AI39" s="11"/>
      <c r="AJ39" s="11">
        <v>33515</v>
      </c>
      <c r="AK39" s="11">
        <v>61816</v>
      </c>
      <c r="AL39" s="11">
        <v>1048</v>
      </c>
      <c r="AM39" s="11">
        <v>2383</v>
      </c>
      <c r="AN39" s="11"/>
      <c r="AO39" s="11"/>
      <c r="AP39" s="11">
        <v>180899.05700000003</v>
      </c>
      <c r="AQ39" s="11">
        <v>406383.78</v>
      </c>
      <c r="AR39" s="11">
        <v>438916</v>
      </c>
      <c r="AS39" s="11">
        <v>793053</v>
      </c>
      <c r="AT39" s="11">
        <v>200357</v>
      </c>
      <c r="AU39" s="11">
        <v>383653</v>
      </c>
      <c r="AV39" s="11">
        <v>158</v>
      </c>
      <c r="AW39" s="11">
        <v>171</v>
      </c>
      <c r="AX39" s="11">
        <v>48754</v>
      </c>
      <c r="AY39" s="11">
        <v>72343</v>
      </c>
      <c r="AZ39" s="11"/>
      <c r="BA39" s="11"/>
      <c r="BB39" s="11"/>
      <c r="BC39" s="11"/>
      <c r="BD39" s="11">
        <v>28696</v>
      </c>
      <c r="BE39" s="11">
        <v>69821</v>
      </c>
      <c r="BF39" s="11">
        <v>18293</v>
      </c>
      <c r="BG39" s="11">
        <v>24578</v>
      </c>
      <c r="BH39" s="11">
        <v>44843</v>
      </c>
      <c r="BI39" s="11">
        <v>48482</v>
      </c>
      <c r="BJ39" s="11"/>
      <c r="BK39" s="11"/>
      <c r="BL39" s="11">
        <v>23163</v>
      </c>
      <c r="BM39" s="11">
        <v>65607</v>
      </c>
      <c r="BN39" s="11">
        <v>372423</v>
      </c>
      <c r="BO39" s="11">
        <v>997262</v>
      </c>
      <c r="BP39" s="11">
        <v>4113</v>
      </c>
      <c r="BQ39" s="11">
        <v>8013</v>
      </c>
      <c r="BR39" s="99">
        <f>SUM(B39+D39+F39+H39+J39+L39+N39+P39+R39+T39+V39+X39+Z39+AB39+AD39+AF39+AH39+AJ39+AL39+AN39+AP39+AR39+AT39+AV39+AX39+AZ39+BB39+BD39+BF39+BH39+BJ39+BL39+BN39+BP39)</f>
        <v>2329821.057</v>
      </c>
      <c r="BS39" s="99">
        <f>SUM(C39+E39+G39+I39+K39+M39+O39+Q39+S39+U39+W39+Y39+AA39+AC39+AE39+AG39+AI39+AK39+AM39+AO39+AQ39+AS39+AU39+AW39+AY39+BA39+BC39+BE39+BG39+BI39+BK39+BM39+BO39+BQ39)</f>
        <v>4517930.78</v>
      </c>
    </row>
    <row r="40" spans="1:71" x14ac:dyDescent="0.25">
      <c r="A40" s="28" t="s">
        <v>290</v>
      </c>
      <c r="B40" s="11"/>
      <c r="C40" s="11"/>
      <c r="D40" s="11"/>
      <c r="E40" s="11"/>
      <c r="F40" s="11"/>
      <c r="G40" s="11"/>
      <c r="H40" s="11"/>
      <c r="I40" s="11"/>
      <c r="J40" s="11">
        <v>882</v>
      </c>
      <c r="K40" s="11">
        <v>1522</v>
      </c>
      <c r="L40" s="11"/>
      <c r="M40" s="11">
        <v>25</v>
      </c>
      <c r="N40" s="11"/>
      <c r="O40" s="11">
        <v>131</v>
      </c>
      <c r="P40" s="11"/>
      <c r="Q40" s="11"/>
      <c r="R40" s="11"/>
      <c r="S40" s="11"/>
      <c r="T40" s="11"/>
      <c r="U40" s="11">
        <v>16</v>
      </c>
      <c r="V40" s="11"/>
      <c r="W40" s="11"/>
      <c r="X40" s="11">
        <v>2933</v>
      </c>
      <c r="Y40" s="11">
        <v>2933</v>
      </c>
      <c r="Z40" s="11"/>
      <c r="AA40" s="11">
        <v>24</v>
      </c>
      <c r="AB40" s="11"/>
      <c r="AC40" s="11"/>
      <c r="AD40" s="11"/>
      <c r="AE40" s="11"/>
      <c r="AF40" s="11"/>
      <c r="AG40" s="11"/>
      <c r="AH40" s="11"/>
      <c r="AI40" s="11"/>
      <c r="AJ40" s="11">
        <v>34</v>
      </c>
      <c r="AK40" s="11">
        <v>34</v>
      </c>
      <c r="AL40" s="11"/>
      <c r="AM40" s="11"/>
      <c r="AN40" s="11"/>
      <c r="AO40" s="11"/>
      <c r="AP40" s="11">
        <v>76132.642999999996</v>
      </c>
      <c r="AQ40" s="11">
        <v>100276.265</v>
      </c>
      <c r="AR40" s="11"/>
      <c r="AS40" s="11"/>
      <c r="AT40" s="11">
        <v>243335</v>
      </c>
      <c r="AU40" s="11">
        <v>287439</v>
      </c>
      <c r="AV40" s="11">
        <v>2</v>
      </c>
      <c r="AW40" s="11">
        <v>2</v>
      </c>
      <c r="AX40" s="11"/>
      <c r="AY40" s="11">
        <v>65</v>
      </c>
      <c r="AZ40" s="11"/>
      <c r="BA40" s="11"/>
      <c r="BB40" s="11"/>
      <c r="BC40" s="11"/>
      <c r="BD40" s="11"/>
      <c r="BE40" s="11"/>
      <c r="BF40" s="11">
        <v>26</v>
      </c>
      <c r="BG40" s="11">
        <v>26</v>
      </c>
      <c r="BH40" s="11"/>
      <c r="BI40" s="11">
        <v>33</v>
      </c>
      <c r="BJ40" s="11"/>
      <c r="BK40" s="11"/>
      <c r="BL40" s="11">
        <v>13543</v>
      </c>
      <c r="BM40" s="11">
        <v>14005</v>
      </c>
      <c r="BN40" s="11">
        <v>-7177</v>
      </c>
      <c r="BO40" s="11">
        <v>37000</v>
      </c>
      <c r="BP40" s="11">
        <v>44</v>
      </c>
      <c r="BQ40" s="11">
        <v>16</v>
      </c>
      <c r="BR40" s="99">
        <f t="shared" ref="BR40:BR44" si="6">SUM(B40+D40+F40+H40+J40+L40+N40+P40+R40+T40+V40+X40+Z40+AB40+AD40+AF40+AH40+AJ40+AL40+AN40+AP40+AR40+AT40+AV40+AX40+AZ40+BB40+BD40+BF40+BH40+BJ40+BL40+BN40+BP40)</f>
        <v>329754.64299999998</v>
      </c>
      <c r="BS40" s="99">
        <f t="shared" ref="BS40:BS44" si="7">SUM(C40+E40+G40+I40+K40+M40+O40+Q40+S40+U40+W40+Y40+AA40+AC40+AE40+AG40+AI40+AK40+AM40+AO40+AQ40+AS40+AU40+AW40+AY40+BA40+BC40+BE40+BG40+BI40+BK40+BM40+BO40+BQ40)</f>
        <v>443547.26500000001</v>
      </c>
    </row>
    <row r="41" spans="1:71" x14ac:dyDescent="0.25">
      <c r="A41" s="28" t="s">
        <v>291</v>
      </c>
      <c r="B41" s="11"/>
      <c r="C41" s="11"/>
      <c r="D41" s="11"/>
      <c r="E41" s="11"/>
      <c r="F41" s="11"/>
      <c r="G41" s="11"/>
      <c r="H41" s="11"/>
      <c r="I41" s="11"/>
      <c r="J41" s="11">
        <v>99323</v>
      </c>
      <c r="K41" s="11">
        <v>188478</v>
      </c>
      <c r="L41" s="11">
        <v>206610</v>
      </c>
      <c r="M41" s="11">
        <v>225634</v>
      </c>
      <c r="N41" s="11">
        <v>12432</v>
      </c>
      <c r="O41" s="11">
        <v>25677</v>
      </c>
      <c r="P41" s="11"/>
      <c r="Q41" s="11"/>
      <c r="R41" s="11"/>
      <c r="S41" s="11"/>
      <c r="T41" s="11">
        <v>15</v>
      </c>
      <c r="U41" s="11">
        <v>-2697</v>
      </c>
      <c r="V41" s="11"/>
      <c r="W41" s="11"/>
      <c r="X41" s="11">
        <v>13421</v>
      </c>
      <c r="Y41" s="11">
        <v>60353</v>
      </c>
      <c r="Z41" s="11">
        <v>7</v>
      </c>
      <c r="AA41" s="11">
        <v>7</v>
      </c>
      <c r="AB41" s="11"/>
      <c r="AC41" s="11"/>
      <c r="AD41" s="11"/>
      <c r="AE41" s="11"/>
      <c r="AF41" s="11">
        <v>43403</v>
      </c>
      <c r="AG41" s="11">
        <v>81718</v>
      </c>
      <c r="AH41" s="11"/>
      <c r="AI41" s="11"/>
      <c r="AJ41" s="11">
        <v>20819</v>
      </c>
      <c r="AK41" s="11">
        <v>40926</v>
      </c>
      <c r="AL41" s="11"/>
      <c r="AM41" s="11"/>
      <c r="AN41" s="11"/>
      <c r="AO41" s="11"/>
      <c r="AP41" s="11">
        <v>32598.536999999997</v>
      </c>
      <c r="AQ41" s="11">
        <v>65915.361999999994</v>
      </c>
      <c r="AR41" s="11"/>
      <c r="AS41" s="11"/>
      <c r="AT41" s="11">
        <v>556038</v>
      </c>
      <c r="AU41" s="11">
        <v>559240</v>
      </c>
      <c r="AV41" s="11">
        <v>121</v>
      </c>
      <c r="AW41" s="11">
        <v>130</v>
      </c>
      <c r="AX41" s="11">
        <v>20430</v>
      </c>
      <c r="AY41" s="11">
        <v>29768</v>
      </c>
      <c r="AZ41" s="11"/>
      <c r="BA41" s="11"/>
      <c r="BB41" s="11"/>
      <c r="BC41" s="11"/>
      <c r="BD41" s="11"/>
      <c r="BE41" s="11"/>
      <c r="BF41" s="11">
        <v>6706</v>
      </c>
      <c r="BG41" s="11">
        <v>9179</v>
      </c>
      <c r="BH41" s="11">
        <v>13121</v>
      </c>
      <c r="BI41" s="11">
        <v>13876</v>
      </c>
      <c r="BJ41" s="11"/>
      <c r="BK41" s="11"/>
      <c r="BL41" s="11">
        <v>31351</v>
      </c>
      <c r="BM41" s="11">
        <v>69567</v>
      </c>
      <c r="BN41" s="11">
        <v>-12289</v>
      </c>
      <c r="BO41" s="11">
        <v>312484</v>
      </c>
      <c r="BP41" s="11">
        <v>2800</v>
      </c>
      <c r="BQ41" s="11">
        <v>6115</v>
      </c>
      <c r="BR41" s="99">
        <f t="shared" si="6"/>
        <v>1046906.537</v>
      </c>
      <c r="BS41" s="99">
        <f t="shared" si="7"/>
        <v>1686370.362</v>
      </c>
    </row>
    <row r="42" spans="1:71" x14ac:dyDescent="0.25">
      <c r="A42" s="28" t="s">
        <v>294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>
        <v>16179</v>
      </c>
      <c r="M42" s="11">
        <v>25695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>
        <v>6752</v>
      </c>
      <c r="Y42" s="11">
        <v>13898</v>
      </c>
      <c r="Z42" s="11">
        <v>-7</v>
      </c>
      <c r="AA42" s="11">
        <v>17</v>
      </c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>
        <v>224433.163</v>
      </c>
      <c r="AQ42" s="11">
        <v>440744.68300000008</v>
      </c>
      <c r="AR42" s="11"/>
      <c r="AS42" s="11"/>
      <c r="AT42" s="11"/>
      <c r="AU42" s="11"/>
      <c r="AV42" s="11"/>
      <c r="AW42" s="11"/>
      <c r="AX42" s="11">
        <v>28324</v>
      </c>
      <c r="AY42" s="11">
        <v>42640</v>
      </c>
      <c r="AZ42" s="11"/>
      <c r="BA42" s="11"/>
      <c r="BB42" s="11"/>
      <c r="BC42" s="11"/>
      <c r="BD42" s="11"/>
      <c r="BE42" s="11"/>
      <c r="BF42" s="11"/>
      <c r="BG42" s="11"/>
      <c r="BH42" s="11">
        <v>31722</v>
      </c>
      <c r="BI42" s="11">
        <v>34639</v>
      </c>
      <c r="BJ42" s="11"/>
      <c r="BK42" s="11"/>
      <c r="BL42" s="11"/>
      <c r="BM42" s="11"/>
      <c r="BN42" s="11"/>
      <c r="BO42" s="11"/>
      <c r="BP42" s="11"/>
      <c r="BQ42" s="11"/>
      <c r="BR42" s="99">
        <f t="shared" si="6"/>
        <v>307403.163</v>
      </c>
      <c r="BS42" s="99">
        <f t="shared" si="7"/>
        <v>557633.68300000008</v>
      </c>
    </row>
    <row r="43" spans="1:71" x14ac:dyDescent="0.25">
      <c r="A43" s="28" t="s">
        <v>293</v>
      </c>
      <c r="B43" s="11"/>
      <c r="C43" s="11"/>
      <c r="D43" s="11"/>
      <c r="E43" s="11"/>
      <c r="F43" s="11"/>
      <c r="G43" s="11"/>
      <c r="H43" s="11"/>
      <c r="I43" s="11"/>
      <c r="J43" s="11">
        <v>47790</v>
      </c>
      <c r="K43" s="11">
        <v>251069</v>
      </c>
      <c r="L43" s="11">
        <v>10473</v>
      </c>
      <c r="M43" s="11">
        <v>113112</v>
      </c>
      <c r="N43" s="11">
        <v>1774</v>
      </c>
      <c r="O43" s="11">
        <v>44072</v>
      </c>
      <c r="P43" s="11"/>
      <c r="Q43" s="11"/>
      <c r="R43" s="11"/>
      <c r="S43" s="11"/>
      <c r="T43" s="11">
        <v>1838</v>
      </c>
      <c r="U43" s="11">
        <v>1838</v>
      </c>
      <c r="V43" s="11"/>
      <c r="W43" s="11"/>
      <c r="X43" s="11">
        <v>106869</v>
      </c>
      <c r="Y43" s="11">
        <v>106869</v>
      </c>
      <c r="Z43" s="11">
        <v>988</v>
      </c>
      <c r="AA43" s="11">
        <v>3931</v>
      </c>
      <c r="AB43" s="11"/>
      <c r="AC43" s="11"/>
      <c r="AD43" s="11"/>
      <c r="AE43" s="11"/>
      <c r="AF43" s="11">
        <v>14888</v>
      </c>
      <c r="AG43" s="11">
        <v>254252</v>
      </c>
      <c r="AH43" s="11">
        <v>641</v>
      </c>
      <c r="AI43" s="11">
        <v>641</v>
      </c>
      <c r="AJ43" s="11">
        <v>249975</v>
      </c>
      <c r="AK43" s="11">
        <v>249975</v>
      </c>
      <c r="AL43" s="11"/>
      <c r="AM43" s="11"/>
      <c r="AN43" s="11"/>
      <c r="AO43" s="11"/>
      <c r="AP43" s="11">
        <v>408844.51721868035</v>
      </c>
      <c r="AQ43" s="11">
        <v>3050808.1772186803</v>
      </c>
      <c r="AR43" s="11"/>
      <c r="AS43" s="11"/>
      <c r="AT43" s="11">
        <v>916084</v>
      </c>
      <c r="AU43" s="11">
        <v>4337661</v>
      </c>
      <c r="AV43" s="11">
        <v>-180</v>
      </c>
      <c r="AW43" s="11">
        <v>1298</v>
      </c>
      <c r="AX43" s="11">
        <v>388203</v>
      </c>
      <c r="AY43" s="11">
        <v>388203</v>
      </c>
      <c r="AZ43" s="11"/>
      <c r="BA43" s="11"/>
      <c r="BB43" s="11"/>
      <c r="BC43" s="11"/>
      <c r="BD43" s="11"/>
      <c r="BE43" s="11"/>
      <c r="BF43" s="11">
        <v>84056</v>
      </c>
      <c r="BG43" s="11">
        <v>84056</v>
      </c>
      <c r="BH43" s="11">
        <v>109631</v>
      </c>
      <c r="BI43" s="11">
        <v>109631</v>
      </c>
      <c r="BJ43" s="11"/>
      <c r="BK43" s="11"/>
      <c r="BL43" s="11">
        <v>11063</v>
      </c>
      <c r="BM43" s="11">
        <v>68698</v>
      </c>
      <c r="BN43" s="11">
        <v>5159163</v>
      </c>
      <c r="BO43" s="11">
        <v>5159163</v>
      </c>
      <c r="BP43" s="11">
        <v>-15470</v>
      </c>
      <c r="BQ43" s="11">
        <v>48029</v>
      </c>
      <c r="BR43" s="99">
        <f t="shared" si="6"/>
        <v>7496630.5172186801</v>
      </c>
      <c r="BS43" s="99">
        <f t="shared" si="7"/>
        <v>14273306.177218679</v>
      </c>
    </row>
    <row r="44" spans="1:71" x14ac:dyDescent="0.25">
      <c r="A44" s="28" t="s">
        <v>292</v>
      </c>
      <c r="B44" s="11"/>
      <c r="C44" s="11"/>
      <c r="D44" s="11"/>
      <c r="E44" s="11"/>
      <c r="F44" s="11"/>
      <c r="G44" s="11"/>
      <c r="H44" s="11"/>
      <c r="I44" s="11"/>
      <c r="J44" s="11"/>
      <c r="K44" s="11">
        <v>208077</v>
      </c>
      <c r="L44" s="11"/>
      <c r="M44" s="11">
        <v>103869</v>
      </c>
      <c r="N44" s="11"/>
      <c r="O44" s="11">
        <v>35270</v>
      </c>
      <c r="P44" s="11"/>
      <c r="Q44" s="11"/>
      <c r="R44" s="11"/>
      <c r="S44" s="11"/>
      <c r="T44" s="11">
        <v>953</v>
      </c>
      <c r="U44" s="11">
        <v>2716</v>
      </c>
      <c r="V44" s="11"/>
      <c r="W44" s="11"/>
      <c r="X44" s="11">
        <v>97390</v>
      </c>
      <c r="Y44" s="11">
        <v>91941</v>
      </c>
      <c r="Z44" s="11">
        <v>0</v>
      </c>
      <c r="AA44" s="11">
        <v>1199</v>
      </c>
      <c r="AB44" s="11"/>
      <c r="AC44" s="11"/>
      <c r="AD44" s="11"/>
      <c r="AE44" s="11"/>
      <c r="AF44" s="11"/>
      <c r="AG44" s="11">
        <v>202514</v>
      </c>
      <c r="AH44" s="11">
        <v>275</v>
      </c>
      <c r="AI44" s="11">
        <v>140</v>
      </c>
      <c r="AJ44" s="11">
        <v>423528</v>
      </c>
      <c r="AK44" s="11">
        <v>423528</v>
      </c>
      <c r="AL44" s="11"/>
      <c r="AM44" s="11"/>
      <c r="AN44" s="11"/>
      <c r="AO44" s="11"/>
      <c r="AP44" s="11">
        <v>0</v>
      </c>
      <c r="AQ44" s="11">
        <v>2887581.7609999999</v>
      </c>
      <c r="AR44" s="11"/>
      <c r="AS44" s="11"/>
      <c r="AT44" s="11"/>
      <c r="AU44" s="11">
        <v>3205119</v>
      </c>
      <c r="AV44" s="11"/>
      <c r="AW44" s="11">
        <v>927</v>
      </c>
      <c r="AX44" s="11">
        <v>350248</v>
      </c>
      <c r="AY44" s="11">
        <v>324591</v>
      </c>
      <c r="AZ44" s="11"/>
      <c r="BA44" s="11"/>
      <c r="BB44" s="11"/>
      <c r="BC44" s="11"/>
      <c r="BD44" s="11"/>
      <c r="BE44" s="11"/>
      <c r="BF44" s="11">
        <v>80681</v>
      </c>
      <c r="BG44" s="11">
        <v>63931</v>
      </c>
      <c r="BH44" s="11">
        <v>89283</v>
      </c>
      <c r="BI44" s="11">
        <v>64001</v>
      </c>
      <c r="BJ44" s="11"/>
      <c r="BK44" s="11"/>
      <c r="BL44" s="11">
        <v>1</v>
      </c>
      <c r="BM44" s="11">
        <v>58708</v>
      </c>
      <c r="BN44" s="11">
        <v>4111234</v>
      </c>
      <c r="BO44" s="11">
        <v>4163346</v>
      </c>
      <c r="BP44" s="11"/>
      <c r="BQ44" s="11">
        <v>67958</v>
      </c>
      <c r="BR44" s="99">
        <f t="shared" si="6"/>
        <v>5153593</v>
      </c>
      <c r="BS44" s="99">
        <f t="shared" si="7"/>
        <v>11905416.761</v>
      </c>
    </row>
    <row r="45" spans="1:71" x14ac:dyDescent="0.25">
      <c r="A45" s="28" t="s">
        <v>287</v>
      </c>
      <c r="B45" s="11"/>
      <c r="C45" s="11"/>
      <c r="D45" s="11"/>
      <c r="E45" s="11"/>
      <c r="F45" s="11"/>
      <c r="G45" s="11"/>
      <c r="H45" s="11"/>
      <c r="I45" s="11"/>
      <c r="J45" s="11">
        <v>77580</v>
      </c>
      <c r="K45" s="11">
        <v>99593</v>
      </c>
      <c r="L45" s="11">
        <v>26652</v>
      </c>
      <c r="M45" s="11">
        <v>34938</v>
      </c>
      <c r="N45" s="11">
        <v>11169</v>
      </c>
      <c r="O45" s="11">
        <v>23491</v>
      </c>
      <c r="P45" s="11"/>
      <c r="Q45" s="11"/>
      <c r="R45" s="11">
        <v>26</v>
      </c>
      <c r="S45" s="11">
        <v>73</v>
      </c>
      <c r="T45" s="11">
        <v>870</v>
      </c>
      <c r="U45" s="11">
        <v>1835</v>
      </c>
      <c r="V45" s="11"/>
      <c r="W45" s="11"/>
      <c r="X45" s="11">
        <v>16231</v>
      </c>
      <c r="Y45" s="11">
        <v>28827</v>
      </c>
      <c r="Z45" s="11">
        <v>981</v>
      </c>
      <c r="AA45" s="11">
        <v>2749</v>
      </c>
      <c r="AB45" s="11">
        <v>191454</v>
      </c>
      <c r="AC45" s="11">
        <v>254113</v>
      </c>
      <c r="AD45" s="11">
        <v>64381</v>
      </c>
      <c r="AE45" s="11">
        <v>187096</v>
      </c>
      <c r="AF45" s="11">
        <v>43852</v>
      </c>
      <c r="AG45" s="11">
        <v>99340</v>
      </c>
      <c r="AH45" s="11">
        <v>366</v>
      </c>
      <c r="AI45" s="11">
        <v>517</v>
      </c>
      <c r="AJ45" s="11">
        <v>-4725</v>
      </c>
      <c r="AK45" s="11">
        <v>-3651</v>
      </c>
      <c r="AL45" s="11">
        <v>3898</v>
      </c>
      <c r="AM45" s="11">
        <v>2023</v>
      </c>
      <c r="AN45" s="11"/>
      <c r="AO45" s="11"/>
      <c r="AP45" s="11">
        <v>633277.6802186803</v>
      </c>
      <c r="AQ45" s="11">
        <v>603971.09921868052</v>
      </c>
      <c r="AR45" s="11">
        <v>1820143</v>
      </c>
      <c r="AS45" s="11">
        <v>2093670</v>
      </c>
      <c r="AT45" s="11">
        <v>803738</v>
      </c>
      <c r="AU45" s="11">
        <v>1244394</v>
      </c>
      <c r="AV45" s="11">
        <v>-140</v>
      </c>
      <c r="AW45" s="11">
        <v>413</v>
      </c>
      <c r="AX45" s="11">
        <v>66279</v>
      </c>
      <c r="AY45" s="11">
        <v>106252</v>
      </c>
      <c r="AZ45" s="11"/>
      <c r="BA45" s="11"/>
      <c r="BB45" s="11"/>
      <c r="BC45" s="11"/>
      <c r="BD45" s="11">
        <v>19884</v>
      </c>
      <c r="BE45" s="11">
        <v>18966</v>
      </c>
      <c r="BF45" s="11">
        <v>14988</v>
      </c>
      <c r="BG45" s="11">
        <v>35550</v>
      </c>
      <c r="BH45" s="11">
        <v>52070</v>
      </c>
      <c r="BI45" s="11">
        <v>80268</v>
      </c>
      <c r="BJ45" s="11"/>
      <c r="BK45" s="11"/>
      <c r="BL45" s="11">
        <v>16417</v>
      </c>
      <c r="BM45" s="11">
        <v>20035</v>
      </c>
      <c r="BN45" s="11">
        <v>1425464</v>
      </c>
      <c r="BO45" s="11">
        <v>1717595</v>
      </c>
      <c r="BP45" s="11">
        <v>-14113</v>
      </c>
      <c r="BQ45" s="11">
        <v>-18015</v>
      </c>
      <c r="BR45" s="99">
        <f>SUM(B45+D45+F45+H45+J45+L45+N45+P45+R45+T45+V45+X45+Z45+AB45+AD45+AF45+AH45+AJ45+AL45+AN45+AP45+AR45+AT45+AV45+AX45+AZ45+BB45+BD45+BF45+BH45+BJ45+BL45+BN45+BP45)</f>
        <v>5270742.6802186798</v>
      </c>
      <c r="BS45" s="99">
        <f>SUM(C45+E45+G45+I45+K45+M45+O45+Q45+S45+U45+W45+Y45+AA45+AC45+AE45+AG45+AI45+AK45+AM45+AO45+AQ45+AS45+AU45+AW45+AY45+BA45+BC45+BE45+BG45+BI45+BK45+BM45+BO45+BQ45)</f>
        <v>6634043.0992186805</v>
      </c>
    </row>
    <row r="46" spans="1:71" x14ac:dyDescent="0.25">
      <c r="A46" s="19"/>
    </row>
    <row r="47" spans="1:71" x14ac:dyDescent="0.25">
      <c r="A47" s="35" t="s">
        <v>234</v>
      </c>
    </row>
    <row r="48" spans="1:71" x14ac:dyDescent="0.25">
      <c r="A48" s="4" t="s">
        <v>0</v>
      </c>
      <c r="B48" s="105" t="s">
        <v>1</v>
      </c>
      <c r="C48" s="106"/>
      <c r="D48" s="105" t="s">
        <v>2</v>
      </c>
      <c r="E48" s="106"/>
      <c r="F48" s="105" t="s">
        <v>3</v>
      </c>
      <c r="G48" s="106"/>
      <c r="H48" s="105" t="s">
        <v>4</v>
      </c>
      <c r="I48" s="106"/>
      <c r="J48" s="105" t="s">
        <v>5</v>
      </c>
      <c r="K48" s="106"/>
      <c r="L48" s="105" t="s">
        <v>6</v>
      </c>
      <c r="M48" s="106"/>
      <c r="N48" s="105" t="s">
        <v>7</v>
      </c>
      <c r="O48" s="106"/>
      <c r="P48" s="105" t="s">
        <v>8</v>
      </c>
      <c r="Q48" s="106"/>
      <c r="R48" s="105" t="s">
        <v>9</v>
      </c>
      <c r="S48" s="106"/>
      <c r="T48" s="105" t="s">
        <v>10</v>
      </c>
      <c r="U48" s="106"/>
      <c r="V48" s="105" t="s">
        <v>11</v>
      </c>
      <c r="W48" s="106"/>
      <c r="X48" s="105" t="s">
        <v>12</v>
      </c>
      <c r="Y48" s="106"/>
      <c r="Z48" s="105" t="s">
        <v>13</v>
      </c>
      <c r="AA48" s="106"/>
      <c r="AB48" s="105" t="s">
        <v>14</v>
      </c>
      <c r="AC48" s="106"/>
      <c r="AD48" s="105" t="s">
        <v>15</v>
      </c>
      <c r="AE48" s="106"/>
      <c r="AF48" s="105" t="s">
        <v>16</v>
      </c>
      <c r="AG48" s="106"/>
      <c r="AH48" s="105" t="s">
        <v>17</v>
      </c>
      <c r="AI48" s="106"/>
      <c r="AJ48" s="105" t="s">
        <v>18</v>
      </c>
      <c r="AK48" s="106"/>
      <c r="AL48" s="105" t="s">
        <v>19</v>
      </c>
      <c r="AM48" s="106"/>
      <c r="AN48" s="105" t="s">
        <v>20</v>
      </c>
      <c r="AO48" s="106"/>
      <c r="AP48" s="105" t="s">
        <v>21</v>
      </c>
      <c r="AQ48" s="106"/>
      <c r="AR48" s="105" t="s">
        <v>22</v>
      </c>
      <c r="AS48" s="106"/>
      <c r="AT48" s="105" t="s">
        <v>23</v>
      </c>
      <c r="AU48" s="106"/>
      <c r="AV48" s="105" t="s">
        <v>24</v>
      </c>
      <c r="AW48" s="106"/>
      <c r="AX48" s="105" t="s">
        <v>25</v>
      </c>
      <c r="AY48" s="106"/>
      <c r="AZ48" s="105" t="s">
        <v>26</v>
      </c>
      <c r="BA48" s="106"/>
      <c r="BB48" s="105" t="s">
        <v>27</v>
      </c>
      <c r="BC48" s="106"/>
      <c r="BD48" s="105" t="s">
        <v>28</v>
      </c>
      <c r="BE48" s="106"/>
      <c r="BF48" s="105" t="s">
        <v>29</v>
      </c>
      <c r="BG48" s="106"/>
      <c r="BH48" s="105" t="s">
        <v>30</v>
      </c>
      <c r="BI48" s="106"/>
      <c r="BJ48" s="105" t="s">
        <v>31</v>
      </c>
      <c r="BK48" s="106"/>
      <c r="BL48" s="105" t="s">
        <v>32</v>
      </c>
      <c r="BM48" s="106"/>
      <c r="BN48" s="109" t="s">
        <v>33</v>
      </c>
      <c r="BO48" s="110"/>
      <c r="BP48" s="105" t="s">
        <v>34</v>
      </c>
      <c r="BQ48" s="106"/>
      <c r="BR48" s="107" t="s">
        <v>35</v>
      </c>
      <c r="BS48" s="108"/>
    </row>
    <row r="49" spans="1:71" ht="30" x14ac:dyDescent="0.25">
      <c r="A49" s="4"/>
      <c r="B49" s="76" t="s">
        <v>295</v>
      </c>
      <c r="C49" s="77" t="s">
        <v>296</v>
      </c>
      <c r="D49" s="76" t="s">
        <v>295</v>
      </c>
      <c r="E49" s="77" t="s">
        <v>296</v>
      </c>
      <c r="F49" s="76" t="s">
        <v>295</v>
      </c>
      <c r="G49" s="77" t="s">
        <v>296</v>
      </c>
      <c r="H49" s="76" t="s">
        <v>295</v>
      </c>
      <c r="I49" s="77" t="s">
        <v>296</v>
      </c>
      <c r="J49" s="76" t="s">
        <v>295</v>
      </c>
      <c r="K49" s="77" t="s">
        <v>296</v>
      </c>
      <c r="L49" s="76" t="s">
        <v>295</v>
      </c>
      <c r="M49" s="77" t="s">
        <v>296</v>
      </c>
      <c r="N49" s="76" t="s">
        <v>295</v>
      </c>
      <c r="O49" s="77" t="s">
        <v>296</v>
      </c>
      <c r="P49" s="76" t="s">
        <v>295</v>
      </c>
      <c r="Q49" s="77" t="s">
        <v>296</v>
      </c>
      <c r="R49" s="76" t="s">
        <v>295</v>
      </c>
      <c r="S49" s="77" t="s">
        <v>296</v>
      </c>
      <c r="T49" s="76" t="s">
        <v>295</v>
      </c>
      <c r="U49" s="77" t="s">
        <v>296</v>
      </c>
      <c r="V49" s="76" t="s">
        <v>295</v>
      </c>
      <c r="W49" s="77" t="s">
        <v>296</v>
      </c>
      <c r="X49" s="76" t="s">
        <v>295</v>
      </c>
      <c r="Y49" s="77" t="s">
        <v>296</v>
      </c>
      <c r="Z49" s="76" t="s">
        <v>295</v>
      </c>
      <c r="AA49" s="77" t="s">
        <v>296</v>
      </c>
      <c r="AB49" s="76" t="s">
        <v>295</v>
      </c>
      <c r="AC49" s="77" t="s">
        <v>296</v>
      </c>
      <c r="AD49" s="76" t="s">
        <v>295</v>
      </c>
      <c r="AE49" s="77" t="s">
        <v>296</v>
      </c>
      <c r="AF49" s="76" t="s">
        <v>295</v>
      </c>
      <c r="AG49" s="77" t="s">
        <v>296</v>
      </c>
      <c r="AH49" s="76" t="s">
        <v>295</v>
      </c>
      <c r="AI49" s="77" t="s">
        <v>296</v>
      </c>
      <c r="AJ49" s="76" t="s">
        <v>295</v>
      </c>
      <c r="AK49" s="77" t="s">
        <v>296</v>
      </c>
      <c r="AL49" s="76" t="s">
        <v>295</v>
      </c>
      <c r="AM49" s="77" t="s">
        <v>296</v>
      </c>
      <c r="AN49" s="76" t="s">
        <v>295</v>
      </c>
      <c r="AO49" s="77" t="s">
        <v>296</v>
      </c>
      <c r="AP49" s="76" t="s">
        <v>295</v>
      </c>
      <c r="AQ49" s="77" t="s">
        <v>296</v>
      </c>
      <c r="AR49" s="76" t="s">
        <v>295</v>
      </c>
      <c r="AS49" s="77" t="s">
        <v>296</v>
      </c>
      <c r="AT49" s="76" t="s">
        <v>295</v>
      </c>
      <c r="AU49" s="77" t="s">
        <v>296</v>
      </c>
      <c r="AV49" s="76" t="s">
        <v>295</v>
      </c>
      <c r="AW49" s="77" t="s">
        <v>296</v>
      </c>
      <c r="AX49" s="76" t="s">
        <v>295</v>
      </c>
      <c r="AY49" s="77" t="s">
        <v>296</v>
      </c>
      <c r="AZ49" s="76" t="s">
        <v>295</v>
      </c>
      <c r="BA49" s="77" t="s">
        <v>296</v>
      </c>
      <c r="BB49" s="76" t="s">
        <v>295</v>
      </c>
      <c r="BC49" s="77" t="s">
        <v>296</v>
      </c>
      <c r="BD49" s="76" t="s">
        <v>295</v>
      </c>
      <c r="BE49" s="77" t="s">
        <v>296</v>
      </c>
      <c r="BF49" s="76" t="s">
        <v>295</v>
      </c>
      <c r="BG49" s="77" t="s">
        <v>296</v>
      </c>
      <c r="BH49" s="76" t="s">
        <v>295</v>
      </c>
      <c r="BI49" s="77" t="s">
        <v>296</v>
      </c>
      <c r="BJ49" s="76" t="s">
        <v>295</v>
      </c>
      <c r="BK49" s="77" t="s">
        <v>296</v>
      </c>
      <c r="BL49" s="76" t="s">
        <v>295</v>
      </c>
      <c r="BM49" s="77" t="s">
        <v>296</v>
      </c>
      <c r="BN49" s="76" t="s">
        <v>295</v>
      </c>
      <c r="BO49" s="77" t="s">
        <v>296</v>
      </c>
      <c r="BP49" s="76" t="s">
        <v>295</v>
      </c>
      <c r="BQ49" s="77" t="s">
        <v>296</v>
      </c>
      <c r="BR49" s="95" t="s">
        <v>295</v>
      </c>
      <c r="BS49" s="96" t="s">
        <v>296</v>
      </c>
    </row>
    <row r="50" spans="1:71" x14ac:dyDescent="0.25">
      <c r="A50" s="28" t="s">
        <v>242</v>
      </c>
      <c r="B50" s="11">
        <v>52818</v>
      </c>
      <c r="C50" s="11">
        <v>71900</v>
      </c>
      <c r="D50" s="8">
        <v>765707</v>
      </c>
      <c r="E50" s="11">
        <v>1305954</v>
      </c>
      <c r="F50" s="11"/>
      <c r="G50" s="11"/>
      <c r="H50" s="11">
        <v>3665625</v>
      </c>
      <c r="I50" s="11">
        <v>6987651</v>
      </c>
      <c r="J50" s="11">
        <v>5113253</v>
      </c>
      <c r="K50" s="11">
        <v>9737948</v>
      </c>
      <c r="L50" s="11">
        <v>576683</v>
      </c>
      <c r="M50" s="11">
        <v>1064629</v>
      </c>
      <c r="N50" s="11">
        <v>368163</v>
      </c>
      <c r="O50" s="11">
        <v>639404</v>
      </c>
      <c r="P50" s="11">
        <v>767646</v>
      </c>
      <c r="Q50" s="11">
        <v>1417265</v>
      </c>
      <c r="R50" s="11">
        <v>71310</v>
      </c>
      <c r="S50" s="11">
        <v>133294</v>
      </c>
      <c r="T50" s="11">
        <v>183210</v>
      </c>
      <c r="U50" s="11">
        <v>206292</v>
      </c>
      <c r="V50" s="11"/>
      <c r="W50" s="11"/>
      <c r="X50" s="11">
        <v>581510</v>
      </c>
      <c r="Y50" s="11">
        <v>1150071</v>
      </c>
      <c r="Z50" s="11">
        <v>14207</v>
      </c>
      <c r="AA50" s="11">
        <v>21097</v>
      </c>
      <c r="AB50" s="11">
        <v>1844967</v>
      </c>
      <c r="AC50" s="11">
        <v>3709761</v>
      </c>
      <c r="AD50" s="11">
        <v>3842319</v>
      </c>
      <c r="AE50" s="11">
        <v>7175475</v>
      </c>
      <c r="AF50" s="11">
        <v>2298982</v>
      </c>
      <c r="AG50" s="11">
        <v>4217801</v>
      </c>
      <c r="AH50" s="11">
        <v>77057</v>
      </c>
      <c r="AI50" s="11">
        <v>128694</v>
      </c>
      <c r="AJ50" s="11">
        <v>475304</v>
      </c>
      <c r="AK50" s="11">
        <v>904759</v>
      </c>
      <c r="AL50" s="11">
        <v>215656</v>
      </c>
      <c r="AM50" s="11">
        <v>331179</v>
      </c>
      <c r="AN50" s="11">
        <v>1129622</v>
      </c>
      <c r="AO50" s="11">
        <v>2129782</v>
      </c>
      <c r="AP50" s="11">
        <v>13772937.022000002</v>
      </c>
      <c r="AQ50" s="11">
        <v>26411748.030000001</v>
      </c>
      <c r="AR50" s="11">
        <v>21858592</v>
      </c>
      <c r="AS50" s="11">
        <v>42029727</v>
      </c>
      <c r="AT50" s="11">
        <v>10612524</v>
      </c>
      <c r="AU50" s="11">
        <v>18954778</v>
      </c>
      <c r="AV50" s="11"/>
      <c r="AW50" s="11"/>
      <c r="AX50" s="11">
        <v>2867891</v>
      </c>
      <c r="AY50" s="11">
        <v>4829623</v>
      </c>
      <c r="AZ50" s="11">
        <v>2886</v>
      </c>
      <c r="BA50" s="11">
        <v>4240</v>
      </c>
      <c r="BB50" s="11">
        <v>3242371</v>
      </c>
      <c r="BC50" s="11">
        <v>6118126</v>
      </c>
      <c r="BD50" s="11">
        <v>506886</v>
      </c>
      <c r="BE50" s="11">
        <v>996304</v>
      </c>
      <c r="BF50" s="11">
        <v>813482</v>
      </c>
      <c r="BG50" s="11">
        <v>1460652</v>
      </c>
      <c r="BH50" s="11">
        <v>247</v>
      </c>
      <c r="BI50" s="11">
        <v>590</v>
      </c>
      <c r="BJ50" s="11"/>
      <c r="BK50" s="11"/>
      <c r="BL50" s="11">
        <v>1152269</v>
      </c>
      <c r="BM50" s="11">
        <v>2180366</v>
      </c>
      <c r="BN50" s="11">
        <v>12812644</v>
      </c>
      <c r="BO50" s="11">
        <v>24482140</v>
      </c>
      <c r="BP50" s="11">
        <v>305436</v>
      </c>
      <c r="BQ50" s="11">
        <v>570216</v>
      </c>
      <c r="BR50" s="99">
        <f>SUM(B50+D50+F50+H50+J50+L50+N50+P50+R50+T50+V50+X50+Z50+AB50+AD50+AF50+AH50+AJ50+AL50+AN50+AP50+AR50+AT50+AV50+AX50+AZ50+BB50+BD50+BF50+BH50+BJ50+BL50+BN50+BP50)</f>
        <v>89992204.022</v>
      </c>
      <c r="BS50" s="99">
        <f>SUM(C50+E50+G50+I50+K50+M50+O50+Q50+S50+U50+W50+Y50+AA50+AC50+AE50+AG50+AI50+AK50+AM50+AO50+AQ50+AS50+AU50+AW50+AY50+BA50+BC50+BE50+BG50+BI50+BK50+BM50+BO50+BQ50)</f>
        <v>169371466.03</v>
      </c>
    </row>
    <row r="51" spans="1:71" x14ac:dyDescent="0.25">
      <c r="A51" s="28" t="s">
        <v>290</v>
      </c>
      <c r="B51" s="11"/>
      <c r="C51" s="11"/>
      <c r="D51" s="11"/>
      <c r="E51" s="11"/>
      <c r="F51" s="11"/>
      <c r="G51" s="11"/>
      <c r="H51" s="11"/>
      <c r="I51" s="11"/>
      <c r="J51" s="11">
        <v>2508</v>
      </c>
      <c r="K51" s="11">
        <v>2508</v>
      </c>
      <c r="L51" s="11"/>
      <c r="M51" s="11"/>
      <c r="N51" s="11"/>
      <c r="O51" s="11"/>
      <c r="P51" s="11">
        <v>552046</v>
      </c>
      <c r="Q51" s="11">
        <v>552046</v>
      </c>
      <c r="R51" s="11"/>
      <c r="S51" s="11"/>
      <c r="T51" s="11">
        <v>5362</v>
      </c>
      <c r="U51" s="11">
        <v>19390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>
        <v>0</v>
      </c>
      <c r="AQ51" s="11">
        <v>0</v>
      </c>
      <c r="AR51" s="11"/>
      <c r="AS51" s="11"/>
      <c r="AT51" s="11">
        <v>95665</v>
      </c>
      <c r="AU51" s="11">
        <v>124610</v>
      </c>
      <c r="AV51" s="11"/>
      <c r="AW51" s="11"/>
      <c r="AX51" s="11"/>
      <c r="AY51" s="11"/>
      <c r="AZ51" s="11"/>
      <c r="BA51" s="11"/>
      <c r="BB51" s="11">
        <v>29521</v>
      </c>
      <c r="BC51" s="11">
        <v>104533</v>
      </c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99">
        <f t="shared" ref="BR51:BR55" si="8">SUM(B51+D51+F51+H51+J51+L51+N51+P51+R51+T51+V51+X51+Z51+AB51+AD51+AF51+AH51+AJ51+AL51+AN51+AP51+AR51+AT51+AV51+AX51+AZ51+BB51+BD51+BF51+BH51+BJ51+BL51+BN51+BP51)</f>
        <v>685102</v>
      </c>
      <c r="BS51" s="99">
        <f t="shared" ref="BS51:BS55" si="9">SUM(C51+E51+G51+I51+K51+M51+O51+Q51+S51+U51+W51+Y51+AA51+AC51+AE51+AG51+AI51+AK51+AM51+AO51+AQ51+AS51+AU51+AW51+AY51+BA51+BC51+BE51+BG51+BI51+BK51+BM51+BO51+BQ51)</f>
        <v>803087</v>
      </c>
    </row>
    <row r="52" spans="1:71" x14ac:dyDescent="0.25">
      <c r="A52" s="28" t="s">
        <v>291</v>
      </c>
      <c r="B52" s="11">
        <v>2815</v>
      </c>
      <c r="C52" s="11">
        <v>4223</v>
      </c>
      <c r="D52" s="11">
        <v>103118</v>
      </c>
      <c r="E52" s="11">
        <v>124776</v>
      </c>
      <c r="F52" s="11"/>
      <c r="G52" s="11"/>
      <c r="H52" s="11">
        <v>518884</v>
      </c>
      <c r="I52" s="11">
        <v>993721</v>
      </c>
      <c r="J52" s="11">
        <v>1177627</v>
      </c>
      <c r="K52" s="11">
        <v>2088636</v>
      </c>
      <c r="L52" s="11">
        <v>36706</v>
      </c>
      <c r="M52" s="11">
        <v>57439</v>
      </c>
      <c r="N52" s="11">
        <v>45916</v>
      </c>
      <c r="O52" s="11">
        <v>69371</v>
      </c>
      <c r="P52" s="11">
        <v>549416</v>
      </c>
      <c r="Q52" s="11">
        <v>443678</v>
      </c>
      <c r="R52" s="11"/>
      <c r="S52" s="11"/>
      <c r="T52" s="11">
        <v>16393</v>
      </c>
      <c r="U52" s="11">
        <v>-181053</v>
      </c>
      <c r="V52" s="11"/>
      <c r="W52" s="11"/>
      <c r="X52" s="11">
        <v>187801</v>
      </c>
      <c r="Y52" s="11">
        <v>345486</v>
      </c>
      <c r="Z52" s="11">
        <v>711</v>
      </c>
      <c r="AA52" s="11">
        <v>1055</v>
      </c>
      <c r="AB52" s="11"/>
      <c r="AC52" s="11"/>
      <c r="AD52" s="11"/>
      <c r="AE52" s="11"/>
      <c r="AF52" s="11">
        <v>177576</v>
      </c>
      <c r="AG52" s="11">
        <v>330576</v>
      </c>
      <c r="AH52" s="11">
        <v>3853</v>
      </c>
      <c r="AI52" s="11">
        <v>6435</v>
      </c>
      <c r="AJ52" s="11">
        <v>25527</v>
      </c>
      <c r="AK52" s="11">
        <v>45339</v>
      </c>
      <c r="AL52" s="11"/>
      <c r="AM52" s="11"/>
      <c r="AN52" s="11">
        <v>152757</v>
      </c>
      <c r="AO52" s="11">
        <v>217233</v>
      </c>
      <c r="AP52" s="11">
        <v>5443970.0980000002</v>
      </c>
      <c r="AQ52" s="11">
        <v>10863138.251</v>
      </c>
      <c r="AR52" s="11"/>
      <c r="AS52" s="11"/>
      <c r="AT52" s="11">
        <v>617531</v>
      </c>
      <c r="AU52" s="11">
        <v>1243572</v>
      </c>
      <c r="AV52" s="11"/>
      <c r="AW52" s="11"/>
      <c r="AX52" s="11">
        <v>429642</v>
      </c>
      <c r="AY52" s="11">
        <v>627398</v>
      </c>
      <c r="AZ52" s="11">
        <v>1001</v>
      </c>
      <c r="BA52" s="11">
        <v>1380</v>
      </c>
      <c r="BB52" s="11">
        <v>1421411</v>
      </c>
      <c r="BC52" s="11">
        <v>2653682</v>
      </c>
      <c r="BD52" s="11"/>
      <c r="BE52" s="11"/>
      <c r="BF52" s="11">
        <v>40675</v>
      </c>
      <c r="BG52" s="11">
        <v>73033</v>
      </c>
      <c r="BH52" s="11">
        <v>198</v>
      </c>
      <c r="BI52" s="11">
        <v>472</v>
      </c>
      <c r="BJ52" s="11"/>
      <c r="BK52" s="11"/>
      <c r="BL52" s="11">
        <v>89944</v>
      </c>
      <c r="BM52" s="11">
        <v>158705</v>
      </c>
      <c r="BN52" s="11">
        <v>657274</v>
      </c>
      <c r="BO52" s="11">
        <v>1459064</v>
      </c>
      <c r="BP52" s="11">
        <v>15405</v>
      </c>
      <c r="BQ52" s="11">
        <v>28657</v>
      </c>
      <c r="BR52" s="99">
        <f t="shared" si="8"/>
        <v>11716151.098000001</v>
      </c>
      <c r="BS52" s="99">
        <f t="shared" si="9"/>
        <v>21656016.251000002</v>
      </c>
    </row>
    <row r="53" spans="1:71" x14ac:dyDescent="0.25">
      <c r="A53" s="28" t="s">
        <v>294</v>
      </c>
      <c r="B53" s="11">
        <v>50003</v>
      </c>
      <c r="C53" s="11">
        <v>67677</v>
      </c>
      <c r="D53" s="11">
        <v>662589</v>
      </c>
      <c r="E53" s="11">
        <v>1181178</v>
      </c>
      <c r="F53" s="11"/>
      <c r="G53" s="11"/>
      <c r="H53" s="11"/>
      <c r="I53" s="11"/>
      <c r="J53" s="11"/>
      <c r="K53" s="11"/>
      <c r="L53" s="11">
        <v>539977</v>
      </c>
      <c r="M53" s="11">
        <v>1007190</v>
      </c>
      <c r="N53" s="11"/>
      <c r="O53" s="11"/>
      <c r="P53" s="11">
        <v>770275</v>
      </c>
      <c r="Q53" s="11">
        <v>1525633</v>
      </c>
      <c r="R53" s="11"/>
      <c r="S53" s="11"/>
      <c r="T53" s="11"/>
      <c r="U53" s="11"/>
      <c r="V53" s="11"/>
      <c r="W53" s="11"/>
      <c r="X53" s="11">
        <v>393709</v>
      </c>
      <c r="Y53" s="11">
        <v>804585</v>
      </c>
      <c r="Z53" s="11">
        <v>13497</v>
      </c>
      <c r="AA53" s="11">
        <v>20042</v>
      </c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>
        <v>8328966.9240000015</v>
      </c>
      <c r="AQ53" s="11">
        <v>15548609.779000001</v>
      </c>
      <c r="AR53" s="11"/>
      <c r="AS53" s="11"/>
      <c r="AT53" s="11"/>
      <c r="AU53" s="11"/>
      <c r="AV53" s="11"/>
      <c r="AW53" s="11"/>
      <c r="AX53" s="11">
        <v>2438249</v>
      </c>
      <c r="AY53" s="11">
        <v>4202225</v>
      </c>
      <c r="AZ53" s="11">
        <v>1885</v>
      </c>
      <c r="BA53" s="11">
        <v>2860</v>
      </c>
      <c r="BB53" s="11"/>
      <c r="BC53" s="11"/>
      <c r="BD53" s="11"/>
      <c r="BE53" s="11"/>
      <c r="BF53" s="11"/>
      <c r="BG53" s="11"/>
      <c r="BH53" s="11">
        <v>49</v>
      </c>
      <c r="BI53" s="11">
        <v>118</v>
      </c>
      <c r="BJ53" s="11"/>
      <c r="BK53" s="11"/>
      <c r="BL53" s="11"/>
      <c r="BM53" s="11"/>
      <c r="BN53" s="11"/>
      <c r="BO53" s="11"/>
      <c r="BP53" s="11"/>
      <c r="BQ53" s="11"/>
      <c r="BR53" s="99">
        <f t="shared" si="8"/>
        <v>13199199.924000002</v>
      </c>
      <c r="BS53" s="99">
        <f t="shared" si="9"/>
        <v>24360117.778999999</v>
      </c>
    </row>
    <row r="54" spans="1:71" x14ac:dyDescent="0.25">
      <c r="A54" s="28" t="s">
        <v>293</v>
      </c>
      <c r="B54" s="11">
        <v>70654</v>
      </c>
      <c r="C54" s="11">
        <v>70654</v>
      </c>
      <c r="D54" s="11">
        <v>593818</v>
      </c>
      <c r="E54" s="11">
        <v>593818</v>
      </c>
      <c r="F54" s="11"/>
      <c r="G54" s="11"/>
      <c r="H54" s="11">
        <v>2523864</v>
      </c>
      <c r="I54" s="11">
        <v>2523864</v>
      </c>
      <c r="J54" s="11">
        <v>-20726</v>
      </c>
      <c r="K54" s="11">
        <v>3406375</v>
      </c>
      <c r="L54" s="11">
        <v>36608</v>
      </c>
      <c r="M54" s="11">
        <v>616547</v>
      </c>
      <c r="N54" s="11">
        <v>33263</v>
      </c>
      <c r="O54" s="11">
        <v>295958</v>
      </c>
      <c r="P54" s="11"/>
      <c r="Q54" s="11"/>
      <c r="R54" s="11"/>
      <c r="S54" s="11"/>
      <c r="T54" s="11">
        <v>78714</v>
      </c>
      <c r="U54" s="11">
        <v>78714</v>
      </c>
      <c r="V54" s="11"/>
      <c r="W54" s="11"/>
      <c r="X54" s="11">
        <v>367140</v>
      </c>
      <c r="Y54" s="11">
        <v>367140</v>
      </c>
      <c r="Z54" s="11">
        <v>1684</v>
      </c>
      <c r="AA54" s="11">
        <v>9211</v>
      </c>
      <c r="AB54" s="11"/>
      <c r="AC54" s="11"/>
      <c r="AD54" s="11"/>
      <c r="AE54" s="11"/>
      <c r="AF54" s="11">
        <v>297891</v>
      </c>
      <c r="AG54" s="11">
        <v>2051046</v>
      </c>
      <c r="AH54" s="11">
        <v>66945</v>
      </c>
      <c r="AI54" s="11">
        <v>66945</v>
      </c>
      <c r="AJ54" s="11">
        <v>403290</v>
      </c>
      <c r="AK54" s="11">
        <v>403290</v>
      </c>
      <c r="AL54" s="11"/>
      <c r="AM54" s="11"/>
      <c r="AN54" s="11">
        <v>1380280</v>
      </c>
      <c r="AO54" s="11">
        <v>1380280</v>
      </c>
      <c r="AP54" s="11">
        <v>386710.18099695072</v>
      </c>
      <c r="AQ54" s="11">
        <v>8246999.5539969504</v>
      </c>
      <c r="AR54" s="11"/>
      <c r="AS54" s="11"/>
      <c r="AT54" s="11">
        <v>515086</v>
      </c>
      <c r="AU54" s="11">
        <v>9479762</v>
      </c>
      <c r="AV54" s="11">
        <v>-1144</v>
      </c>
      <c r="AW54" s="11">
        <v>2034</v>
      </c>
      <c r="AX54" s="11">
        <v>3308578</v>
      </c>
      <c r="AY54" s="11">
        <v>3308578</v>
      </c>
      <c r="AZ54" s="11">
        <v>11515</v>
      </c>
      <c r="BA54" s="11">
        <v>11515</v>
      </c>
      <c r="BB54" s="11">
        <v>2050478</v>
      </c>
      <c r="BC54" s="11">
        <v>2050478</v>
      </c>
      <c r="BD54" s="11"/>
      <c r="BE54" s="11"/>
      <c r="BF54" s="11">
        <v>1910054</v>
      </c>
      <c r="BG54" s="11">
        <v>1910054</v>
      </c>
      <c r="BH54" s="11">
        <v>5475</v>
      </c>
      <c r="BI54" s="11">
        <v>5475</v>
      </c>
      <c r="BJ54" s="11"/>
      <c r="BK54" s="11"/>
      <c r="BL54" s="11">
        <v>169222</v>
      </c>
      <c r="BM54" s="11">
        <v>1756357</v>
      </c>
      <c r="BN54" s="11">
        <v>11924220</v>
      </c>
      <c r="BO54" s="11">
        <v>11924220</v>
      </c>
      <c r="BP54" s="11">
        <v>17815</v>
      </c>
      <c r="BQ54" s="11">
        <v>179643</v>
      </c>
      <c r="BR54" s="99">
        <f t="shared" si="8"/>
        <v>26131434.180996951</v>
      </c>
      <c r="BS54" s="99">
        <f t="shared" si="9"/>
        <v>50738957.55399695</v>
      </c>
    </row>
    <row r="55" spans="1:71" x14ac:dyDescent="0.25">
      <c r="A55" s="28" t="s">
        <v>292</v>
      </c>
      <c r="B55" s="11">
        <v>96732</v>
      </c>
      <c r="C55" s="11">
        <v>46962</v>
      </c>
      <c r="D55" s="11">
        <v>542669</v>
      </c>
      <c r="E55" s="11">
        <v>410968</v>
      </c>
      <c r="F55" s="11"/>
      <c r="G55" s="11"/>
      <c r="H55" s="11">
        <v>2008613</v>
      </c>
      <c r="I55" s="11">
        <v>1913094</v>
      </c>
      <c r="J55" s="11"/>
      <c r="K55" s="11">
        <v>3105747</v>
      </c>
      <c r="L55" s="11"/>
      <c r="M55" s="11">
        <v>528073</v>
      </c>
      <c r="N55" s="11"/>
      <c r="O55" s="11">
        <v>254270</v>
      </c>
      <c r="P55" s="11">
        <v>37792</v>
      </c>
      <c r="Q55" s="11">
        <v>68909</v>
      </c>
      <c r="R55" s="11"/>
      <c r="S55" s="11"/>
      <c r="T55" s="11">
        <v>135115</v>
      </c>
      <c r="U55" s="11">
        <v>212426</v>
      </c>
      <c r="V55" s="11"/>
      <c r="W55" s="11"/>
      <c r="X55" s="11">
        <v>306543</v>
      </c>
      <c r="Y55" s="11">
        <v>304202</v>
      </c>
      <c r="Z55" s="11">
        <v>0</v>
      </c>
      <c r="AA55" s="11">
        <v>2593</v>
      </c>
      <c r="AB55" s="11"/>
      <c r="AC55" s="11"/>
      <c r="AD55" s="11"/>
      <c r="AE55" s="11"/>
      <c r="AF55" s="11"/>
      <c r="AG55" s="11">
        <v>1284820</v>
      </c>
      <c r="AH55" s="11">
        <v>56187</v>
      </c>
      <c r="AI55" s="11">
        <v>45375</v>
      </c>
      <c r="AJ55" s="11">
        <v>240494</v>
      </c>
      <c r="AK55" s="11">
        <v>240494</v>
      </c>
      <c r="AL55" s="11"/>
      <c r="AM55" s="11"/>
      <c r="AN55" s="11">
        <v>1179987</v>
      </c>
      <c r="AO55" s="11">
        <v>1034357</v>
      </c>
      <c r="AP55" s="11">
        <v>0</v>
      </c>
      <c r="AQ55" s="11">
        <v>6338330.2010000004</v>
      </c>
      <c r="AR55" s="11"/>
      <c r="AS55" s="11"/>
      <c r="AT55" s="11"/>
      <c r="AU55" s="11">
        <v>6986292</v>
      </c>
      <c r="AV55" s="11"/>
      <c r="AW55" s="11">
        <v>1139</v>
      </c>
      <c r="AX55" s="11">
        <v>2771655</v>
      </c>
      <c r="AY55" s="11">
        <v>2715256</v>
      </c>
      <c r="AZ55" s="11">
        <v>5736</v>
      </c>
      <c r="BA55" s="11">
        <v>1817</v>
      </c>
      <c r="BB55" s="11">
        <v>1673882</v>
      </c>
      <c r="BC55" s="11">
        <v>1417370</v>
      </c>
      <c r="BD55" s="11"/>
      <c r="BE55" s="11"/>
      <c r="BF55" s="11">
        <v>1861199</v>
      </c>
      <c r="BG55" s="11">
        <v>1650690</v>
      </c>
      <c r="BH55" s="11">
        <v>4403</v>
      </c>
      <c r="BI55" s="11">
        <v>3459</v>
      </c>
      <c r="BJ55" s="11"/>
      <c r="BK55" s="11"/>
      <c r="BL55" s="11">
        <v>1</v>
      </c>
      <c r="BM55" s="11">
        <v>1414686</v>
      </c>
      <c r="BN55" s="11">
        <v>10939385</v>
      </c>
      <c r="BO55" s="11">
        <v>9156590</v>
      </c>
      <c r="BP55" s="11"/>
      <c r="BQ55" s="11">
        <v>136194</v>
      </c>
      <c r="BR55" s="99">
        <f t="shared" si="8"/>
        <v>21860393</v>
      </c>
      <c r="BS55" s="99">
        <f t="shared" si="9"/>
        <v>39274113.201000005</v>
      </c>
    </row>
    <row r="56" spans="1:71" x14ac:dyDescent="0.25">
      <c r="A56" s="28" t="s">
        <v>287</v>
      </c>
      <c r="B56" s="11">
        <v>23925</v>
      </c>
      <c r="C56" s="11">
        <v>91369</v>
      </c>
      <c r="D56" s="11">
        <v>713738</v>
      </c>
      <c r="E56" s="11">
        <v>1364028</v>
      </c>
      <c r="F56" s="11"/>
      <c r="G56" s="11"/>
      <c r="H56" s="11">
        <v>3661992</v>
      </c>
      <c r="I56" s="11">
        <v>6604700</v>
      </c>
      <c r="J56" s="11">
        <v>3917408</v>
      </c>
      <c r="K56" s="11">
        <v>7952448</v>
      </c>
      <c r="L56" s="11">
        <v>576585</v>
      </c>
      <c r="M56" s="11">
        <v>1095664</v>
      </c>
      <c r="N56" s="11">
        <v>355510</v>
      </c>
      <c r="O56" s="11">
        <v>611721</v>
      </c>
      <c r="P56" s="11">
        <v>732484</v>
      </c>
      <c r="Q56" s="11">
        <v>1456724</v>
      </c>
      <c r="R56" s="11">
        <v>64473</v>
      </c>
      <c r="S56" s="11">
        <v>62267</v>
      </c>
      <c r="T56" s="11">
        <v>115778</v>
      </c>
      <c r="U56" s="11">
        <v>273023</v>
      </c>
      <c r="V56" s="11"/>
      <c r="W56" s="11"/>
      <c r="X56" s="11">
        <v>454305</v>
      </c>
      <c r="Y56" s="11">
        <v>867523</v>
      </c>
      <c r="Z56" s="11">
        <v>15182</v>
      </c>
      <c r="AA56" s="11">
        <v>26660</v>
      </c>
      <c r="AB56" s="11">
        <v>1521282</v>
      </c>
      <c r="AC56" s="11">
        <v>2922445</v>
      </c>
      <c r="AD56" s="11">
        <v>3896913</v>
      </c>
      <c r="AE56" s="11">
        <v>7242208</v>
      </c>
      <c r="AF56" s="11">
        <v>2419297</v>
      </c>
      <c r="AG56" s="11">
        <v>4653451</v>
      </c>
      <c r="AH56" s="11">
        <v>83962</v>
      </c>
      <c r="AI56" s="11">
        <v>143829</v>
      </c>
      <c r="AJ56" s="11">
        <v>526134</v>
      </c>
      <c r="AK56" s="11">
        <v>992743</v>
      </c>
      <c r="AL56" s="11">
        <v>40154</v>
      </c>
      <c r="AM56" s="11">
        <v>131638</v>
      </c>
      <c r="AN56" s="11">
        <v>1177157</v>
      </c>
      <c r="AO56" s="11">
        <v>2258472</v>
      </c>
      <c r="AP56" s="11">
        <v>8715677.1049969532</v>
      </c>
      <c r="AQ56" s="11">
        <v>17457279.131996948</v>
      </c>
      <c r="AR56" s="11">
        <v>20851810</v>
      </c>
      <c r="AS56" s="11">
        <v>38134735</v>
      </c>
      <c r="AT56" s="11">
        <v>10605744</v>
      </c>
      <c r="AU56" s="11">
        <v>20329286</v>
      </c>
      <c r="AV56" s="11">
        <v>-1144</v>
      </c>
      <c r="AW56" s="11">
        <v>895</v>
      </c>
      <c r="AX56" s="11">
        <v>2975172</v>
      </c>
      <c r="AY56" s="11">
        <v>4795547</v>
      </c>
      <c r="AZ56" s="11">
        <v>7664</v>
      </c>
      <c r="BA56" s="11">
        <v>12558</v>
      </c>
      <c r="BB56" s="11">
        <v>2227077</v>
      </c>
      <c r="BC56" s="11">
        <v>4202085</v>
      </c>
      <c r="BD56" s="11">
        <v>485324</v>
      </c>
      <c r="BE56" s="11">
        <v>937901</v>
      </c>
      <c r="BF56" s="11">
        <v>821662</v>
      </c>
      <c r="BG56" s="11">
        <v>1646983</v>
      </c>
      <c r="BH56" s="11">
        <v>1122</v>
      </c>
      <c r="BI56" s="11">
        <v>2134</v>
      </c>
      <c r="BJ56" s="11"/>
      <c r="BK56" s="11"/>
      <c r="BL56" s="11">
        <v>1231546</v>
      </c>
      <c r="BM56" s="11">
        <v>2363332</v>
      </c>
      <c r="BN56" s="11">
        <v>13140205</v>
      </c>
      <c r="BO56" s="11">
        <v>25790706</v>
      </c>
      <c r="BP56" s="11">
        <v>307846</v>
      </c>
      <c r="BQ56" s="11">
        <v>585008</v>
      </c>
      <c r="BR56" s="99">
        <f>SUM(B56+D56+F56+H56+J56+L56+N56+P56+R56+T56+V56+X56+Z56+AB56+AD56+AF56+AH56+AJ56+AL56+AN56+AP56+AR56+AT56+AV56+AX56+AZ56+BB56+BD56+BF56+BH56+BJ56+BL56+BN56+BP56)</f>
        <v>81665984.104996949</v>
      </c>
      <c r="BS56" s="99">
        <f>SUM(C56+E56+G56+I56+K56+M56+O56+Q56+S56+U56+W56+Y56+AA56+AC56+AE56+AG56+AI56+AK56+AM56+AO56+AQ56+AS56+AU56+AW56+AY56+BA56+BC56+BE56+BG56+BI56+BK56+BM56+BO56+BQ56)</f>
        <v>155009362.13199693</v>
      </c>
    </row>
    <row r="57" spans="1:71" x14ac:dyDescent="0.25">
      <c r="A57" s="19"/>
    </row>
    <row r="58" spans="1:71" x14ac:dyDescent="0.25">
      <c r="A58" s="35" t="s">
        <v>235</v>
      </c>
    </row>
    <row r="59" spans="1:71" x14ac:dyDescent="0.25">
      <c r="A59" s="4" t="s">
        <v>0</v>
      </c>
      <c r="B59" s="105" t="s">
        <v>1</v>
      </c>
      <c r="C59" s="106"/>
      <c r="D59" s="105" t="s">
        <v>2</v>
      </c>
      <c r="E59" s="106"/>
      <c r="F59" s="105" t="s">
        <v>3</v>
      </c>
      <c r="G59" s="106"/>
      <c r="H59" s="105" t="s">
        <v>4</v>
      </c>
      <c r="I59" s="106"/>
      <c r="J59" s="105" t="s">
        <v>5</v>
      </c>
      <c r="K59" s="106"/>
      <c r="L59" s="105" t="s">
        <v>6</v>
      </c>
      <c r="M59" s="106"/>
      <c r="N59" s="105" t="s">
        <v>7</v>
      </c>
      <c r="O59" s="106"/>
      <c r="P59" s="105" t="s">
        <v>8</v>
      </c>
      <c r="Q59" s="106"/>
      <c r="R59" s="105" t="s">
        <v>9</v>
      </c>
      <c r="S59" s="106"/>
      <c r="T59" s="105" t="s">
        <v>10</v>
      </c>
      <c r="U59" s="106"/>
      <c r="V59" s="105" t="s">
        <v>11</v>
      </c>
      <c r="W59" s="106"/>
      <c r="X59" s="105" t="s">
        <v>12</v>
      </c>
      <c r="Y59" s="106"/>
      <c r="Z59" s="105" t="s">
        <v>13</v>
      </c>
      <c r="AA59" s="106"/>
      <c r="AB59" s="105" t="s">
        <v>14</v>
      </c>
      <c r="AC59" s="106"/>
      <c r="AD59" s="105" t="s">
        <v>15</v>
      </c>
      <c r="AE59" s="106"/>
      <c r="AF59" s="105" t="s">
        <v>16</v>
      </c>
      <c r="AG59" s="106"/>
      <c r="AH59" s="105" t="s">
        <v>17</v>
      </c>
      <c r="AI59" s="106"/>
      <c r="AJ59" s="105" t="s">
        <v>18</v>
      </c>
      <c r="AK59" s="106"/>
      <c r="AL59" s="105" t="s">
        <v>19</v>
      </c>
      <c r="AM59" s="106"/>
      <c r="AN59" s="105" t="s">
        <v>20</v>
      </c>
      <c r="AO59" s="106"/>
      <c r="AP59" s="105" t="s">
        <v>21</v>
      </c>
      <c r="AQ59" s="106"/>
      <c r="AR59" s="105" t="s">
        <v>22</v>
      </c>
      <c r="AS59" s="106"/>
      <c r="AT59" s="105" t="s">
        <v>23</v>
      </c>
      <c r="AU59" s="106"/>
      <c r="AV59" s="105" t="s">
        <v>24</v>
      </c>
      <c r="AW59" s="106"/>
      <c r="AX59" s="105" t="s">
        <v>25</v>
      </c>
      <c r="AY59" s="106"/>
      <c r="AZ59" s="105" t="s">
        <v>26</v>
      </c>
      <c r="BA59" s="106"/>
      <c r="BB59" s="105" t="s">
        <v>27</v>
      </c>
      <c r="BC59" s="106"/>
      <c r="BD59" s="105" t="s">
        <v>28</v>
      </c>
      <c r="BE59" s="106"/>
      <c r="BF59" s="105" t="s">
        <v>29</v>
      </c>
      <c r="BG59" s="106"/>
      <c r="BH59" s="105" t="s">
        <v>30</v>
      </c>
      <c r="BI59" s="106"/>
      <c r="BJ59" s="105" t="s">
        <v>31</v>
      </c>
      <c r="BK59" s="106"/>
      <c r="BL59" s="105" t="s">
        <v>32</v>
      </c>
      <c r="BM59" s="106"/>
      <c r="BN59" s="109" t="s">
        <v>33</v>
      </c>
      <c r="BO59" s="110"/>
      <c r="BP59" s="105" t="s">
        <v>34</v>
      </c>
      <c r="BQ59" s="106"/>
      <c r="BR59" s="107" t="s">
        <v>35</v>
      </c>
      <c r="BS59" s="108"/>
    </row>
    <row r="60" spans="1:71" ht="30" x14ac:dyDescent="0.25">
      <c r="A60" s="4"/>
      <c r="B60" s="76" t="s">
        <v>295</v>
      </c>
      <c r="C60" s="77" t="s">
        <v>296</v>
      </c>
      <c r="D60" s="76" t="s">
        <v>295</v>
      </c>
      <c r="E60" s="77" t="s">
        <v>296</v>
      </c>
      <c r="F60" s="76" t="s">
        <v>295</v>
      </c>
      <c r="G60" s="77" t="s">
        <v>296</v>
      </c>
      <c r="H60" s="76" t="s">
        <v>295</v>
      </c>
      <c r="I60" s="77" t="s">
        <v>296</v>
      </c>
      <c r="J60" s="76" t="s">
        <v>295</v>
      </c>
      <c r="K60" s="77" t="s">
        <v>296</v>
      </c>
      <c r="L60" s="76" t="s">
        <v>295</v>
      </c>
      <c r="M60" s="77" t="s">
        <v>296</v>
      </c>
      <c r="N60" s="76" t="s">
        <v>295</v>
      </c>
      <c r="O60" s="77" t="s">
        <v>296</v>
      </c>
      <c r="P60" s="76" t="s">
        <v>295</v>
      </c>
      <c r="Q60" s="77" t="s">
        <v>296</v>
      </c>
      <c r="R60" s="76" t="s">
        <v>295</v>
      </c>
      <c r="S60" s="77" t="s">
        <v>296</v>
      </c>
      <c r="T60" s="76" t="s">
        <v>295</v>
      </c>
      <c r="U60" s="77" t="s">
        <v>296</v>
      </c>
      <c r="V60" s="76" t="s">
        <v>295</v>
      </c>
      <c r="W60" s="77" t="s">
        <v>296</v>
      </c>
      <c r="X60" s="76" t="s">
        <v>295</v>
      </c>
      <c r="Y60" s="77" t="s">
        <v>296</v>
      </c>
      <c r="Z60" s="76" t="s">
        <v>295</v>
      </c>
      <c r="AA60" s="77" t="s">
        <v>296</v>
      </c>
      <c r="AB60" s="76" t="s">
        <v>295</v>
      </c>
      <c r="AC60" s="77" t="s">
        <v>296</v>
      </c>
      <c r="AD60" s="76" t="s">
        <v>295</v>
      </c>
      <c r="AE60" s="77" t="s">
        <v>296</v>
      </c>
      <c r="AF60" s="76" t="s">
        <v>295</v>
      </c>
      <c r="AG60" s="77" t="s">
        <v>296</v>
      </c>
      <c r="AH60" s="76" t="s">
        <v>295</v>
      </c>
      <c r="AI60" s="77" t="s">
        <v>296</v>
      </c>
      <c r="AJ60" s="76" t="s">
        <v>295</v>
      </c>
      <c r="AK60" s="77" t="s">
        <v>296</v>
      </c>
      <c r="AL60" s="76" t="s">
        <v>295</v>
      </c>
      <c r="AM60" s="77" t="s">
        <v>296</v>
      </c>
      <c r="AN60" s="76" t="s">
        <v>295</v>
      </c>
      <c r="AO60" s="77" t="s">
        <v>296</v>
      </c>
      <c r="AP60" s="76" t="s">
        <v>295</v>
      </c>
      <c r="AQ60" s="77" t="s">
        <v>296</v>
      </c>
      <c r="AR60" s="76" t="s">
        <v>295</v>
      </c>
      <c r="AS60" s="77" t="s">
        <v>296</v>
      </c>
      <c r="AT60" s="76" t="s">
        <v>295</v>
      </c>
      <c r="AU60" s="77" t="s">
        <v>296</v>
      </c>
      <c r="AV60" s="76" t="s">
        <v>295</v>
      </c>
      <c r="AW60" s="77" t="s">
        <v>296</v>
      </c>
      <c r="AX60" s="76" t="s">
        <v>295</v>
      </c>
      <c r="AY60" s="77" t="s">
        <v>296</v>
      </c>
      <c r="AZ60" s="76" t="s">
        <v>295</v>
      </c>
      <c r="BA60" s="77" t="s">
        <v>296</v>
      </c>
      <c r="BB60" s="76" t="s">
        <v>295</v>
      </c>
      <c r="BC60" s="77" t="s">
        <v>296</v>
      </c>
      <c r="BD60" s="76" t="s">
        <v>295</v>
      </c>
      <c r="BE60" s="77" t="s">
        <v>296</v>
      </c>
      <c r="BF60" s="76" t="s">
        <v>295</v>
      </c>
      <c r="BG60" s="77" t="s">
        <v>296</v>
      </c>
      <c r="BH60" s="76" t="s">
        <v>295</v>
      </c>
      <c r="BI60" s="77" t="s">
        <v>296</v>
      </c>
      <c r="BJ60" s="76" t="s">
        <v>295</v>
      </c>
      <c r="BK60" s="77" t="s">
        <v>296</v>
      </c>
      <c r="BL60" s="76" t="s">
        <v>295</v>
      </c>
      <c r="BM60" s="77" t="s">
        <v>296</v>
      </c>
      <c r="BN60" s="76" t="s">
        <v>295</v>
      </c>
      <c r="BO60" s="77" t="s">
        <v>296</v>
      </c>
      <c r="BP60" s="76" t="s">
        <v>295</v>
      </c>
      <c r="BQ60" s="77" t="s">
        <v>296</v>
      </c>
      <c r="BR60" s="95" t="s">
        <v>295</v>
      </c>
      <c r="BS60" s="96" t="s">
        <v>296</v>
      </c>
    </row>
    <row r="61" spans="1:71" x14ac:dyDescent="0.25">
      <c r="A61" s="28" t="s">
        <v>242</v>
      </c>
      <c r="B61" s="11">
        <v>1714</v>
      </c>
      <c r="C61" s="11">
        <v>20461</v>
      </c>
      <c r="D61" s="11">
        <v>31174</v>
      </c>
      <c r="E61" s="11">
        <v>56669</v>
      </c>
      <c r="F61" s="11"/>
      <c r="G61" s="11"/>
      <c r="H61" s="11">
        <v>56175</v>
      </c>
      <c r="I61" s="11">
        <v>122770</v>
      </c>
      <c r="J61" s="11">
        <v>240218</v>
      </c>
      <c r="K61" s="11">
        <v>468696</v>
      </c>
      <c r="L61" s="11">
        <v>42044</v>
      </c>
      <c r="M61" s="11">
        <v>70183</v>
      </c>
      <c r="N61" s="11">
        <v>165539</v>
      </c>
      <c r="O61" s="11">
        <v>290741</v>
      </c>
      <c r="P61" s="11">
        <v>3250</v>
      </c>
      <c r="Q61" s="11">
        <v>5083</v>
      </c>
      <c r="R61" s="11">
        <v>7256</v>
      </c>
      <c r="S61" s="11">
        <v>13468</v>
      </c>
      <c r="T61" s="11">
        <v>892</v>
      </c>
      <c r="U61" s="11">
        <v>927</v>
      </c>
      <c r="V61" s="11"/>
      <c r="W61" s="11"/>
      <c r="X61" s="11">
        <v>55694</v>
      </c>
      <c r="Y61" s="11">
        <v>115781</v>
      </c>
      <c r="Z61" s="11">
        <v>1211</v>
      </c>
      <c r="AA61" s="11">
        <v>2811</v>
      </c>
      <c r="AB61" s="11">
        <v>471598</v>
      </c>
      <c r="AC61" s="11">
        <v>895582</v>
      </c>
      <c r="AD61" s="11">
        <v>305951</v>
      </c>
      <c r="AE61" s="11">
        <v>581099</v>
      </c>
      <c r="AF61" s="11">
        <v>266785</v>
      </c>
      <c r="AG61" s="11">
        <v>462487</v>
      </c>
      <c r="AH61" s="11">
        <v>7007</v>
      </c>
      <c r="AI61" s="11">
        <v>10095</v>
      </c>
      <c r="AJ61" s="11">
        <v>14760</v>
      </c>
      <c r="AK61" s="11">
        <v>31986</v>
      </c>
      <c r="AL61" s="11">
        <v>3065</v>
      </c>
      <c r="AM61" s="11">
        <v>7008</v>
      </c>
      <c r="AN61" s="11">
        <v>10034</v>
      </c>
      <c r="AO61" s="11">
        <v>13621</v>
      </c>
      <c r="AP61" s="11">
        <v>710982.58200000005</v>
      </c>
      <c r="AQ61" s="11">
        <v>1328434.0970000001</v>
      </c>
      <c r="AR61" s="11">
        <v>1727314</v>
      </c>
      <c r="AS61" s="11">
        <v>3043479</v>
      </c>
      <c r="AT61" s="11">
        <v>2200973</v>
      </c>
      <c r="AU61" s="11">
        <v>3646149</v>
      </c>
      <c r="AV61" s="11">
        <v>155</v>
      </c>
      <c r="AW61" s="11">
        <v>496</v>
      </c>
      <c r="AX61" s="11">
        <v>105812</v>
      </c>
      <c r="AY61" s="11">
        <v>161686</v>
      </c>
      <c r="AZ61" s="11"/>
      <c r="BA61" s="11"/>
      <c r="BB61" s="11">
        <v>64511</v>
      </c>
      <c r="BC61" s="11">
        <v>109962</v>
      </c>
      <c r="BD61" s="11">
        <v>48689</v>
      </c>
      <c r="BE61" s="11">
        <v>91261</v>
      </c>
      <c r="BF61" s="11">
        <v>793586</v>
      </c>
      <c r="BG61" s="11">
        <v>1233416</v>
      </c>
      <c r="BH61" s="11">
        <v>78972</v>
      </c>
      <c r="BI61" s="11">
        <v>139814</v>
      </c>
      <c r="BJ61" s="11"/>
      <c r="BK61" s="11"/>
      <c r="BL61" s="11">
        <v>190029</v>
      </c>
      <c r="BM61" s="11">
        <v>392871</v>
      </c>
      <c r="BN61" s="11">
        <v>1405130</v>
      </c>
      <c r="BO61" s="11">
        <v>2197493</v>
      </c>
      <c r="BP61" s="11">
        <v>96818</v>
      </c>
      <c r="BQ61" s="11">
        <v>158752</v>
      </c>
      <c r="BR61" s="99">
        <f>SUM(B61+D61+F61+H61+J61+L61+N61+P61+R61+T61+V61+X61+Z61+AB61+AD61+AF61+AH61+AJ61+AL61+AN61+AP61+AR61+AT61+AV61+AX61+AZ61+BB61+BD61+BF61+BH61+BJ61+BL61+BN61+BP61)</f>
        <v>9107338.5820000004</v>
      </c>
      <c r="BS61" s="99">
        <f>SUM(C61+E61+G61+I61+K61+M61+O61+Q61+S61+U61+W61+Y61+AA61+AC61+AE61+AG61+AI61+AK61+AM61+AO61+AQ61+AS61+AU61+AW61+AY61+BA61+BC61+BE61+BG61+BI61+BK61+BM61+BO61+BQ61)</f>
        <v>15673281.096999999</v>
      </c>
    </row>
    <row r="62" spans="1:71" x14ac:dyDescent="0.25">
      <c r="A62" s="28" t="s">
        <v>290</v>
      </c>
      <c r="B62" s="11"/>
      <c r="C62" s="11"/>
      <c r="D62" s="11"/>
      <c r="E62" s="11"/>
      <c r="F62" s="11"/>
      <c r="G62" s="11"/>
      <c r="H62" s="11"/>
      <c r="I62" s="11">
        <v>284</v>
      </c>
      <c r="J62" s="11"/>
      <c r="K62" s="11"/>
      <c r="L62" s="11"/>
      <c r="M62" s="11"/>
      <c r="N62" s="11"/>
      <c r="O62" s="11"/>
      <c r="P62" s="11">
        <v>62581</v>
      </c>
      <c r="Q62" s="11">
        <v>62581</v>
      </c>
      <c r="R62" s="11"/>
      <c r="S62" s="11"/>
      <c r="T62" s="11">
        <v>196</v>
      </c>
      <c r="U62" s="11">
        <v>5995</v>
      </c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>
        <v>4227</v>
      </c>
      <c r="AL62" s="11"/>
      <c r="AM62" s="11"/>
      <c r="AN62" s="11"/>
      <c r="AO62" s="11"/>
      <c r="AP62" s="11">
        <v>0</v>
      </c>
      <c r="AQ62" s="11">
        <v>0</v>
      </c>
      <c r="AR62" s="11"/>
      <c r="AS62" s="11"/>
      <c r="AT62" s="11">
        <v>22971</v>
      </c>
      <c r="AU62" s="11">
        <v>22971</v>
      </c>
      <c r="AV62" s="11">
        <v>2</v>
      </c>
      <c r="AW62" s="11">
        <v>2</v>
      </c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>
        <v>465</v>
      </c>
      <c r="BO62" s="11">
        <v>5478</v>
      </c>
      <c r="BP62" s="11"/>
      <c r="BQ62" s="11"/>
      <c r="BR62" s="99">
        <f t="shared" ref="BR62:BR66" si="10">SUM(B62+D62+F62+H62+J62+L62+N62+P62+R62+T62+V62+X62+Z62+AB62+AD62+AF62+AH62+AJ62+AL62+AN62+AP62+AR62+AT62+AV62+AX62+AZ62+BB62+BD62+BF62+BH62+BJ62+BL62+BN62+BP62)</f>
        <v>86215</v>
      </c>
      <c r="BS62" s="99">
        <f t="shared" ref="BS62:BS66" si="11">SUM(C62+E62+G62+I62+K62+M62+O62+Q62+S62+U62+W62+Y62+AA62+AC62+AE62+AG62+AI62+AK62+AM62+AO62+AQ62+AS62+AU62+AW62+AY62+BA62+BC62+BE62+BG62+BI62+BK62+BM62+BO62+BQ62)</f>
        <v>101538</v>
      </c>
    </row>
    <row r="63" spans="1:71" x14ac:dyDescent="0.25">
      <c r="A63" s="28" t="s">
        <v>291</v>
      </c>
      <c r="B63" s="11">
        <v>86</v>
      </c>
      <c r="C63" s="11">
        <v>1023</v>
      </c>
      <c r="D63" s="11">
        <v>2607</v>
      </c>
      <c r="E63" s="11">
        <v>9339</v>
      </c>
      <c r="F63" s="11"/>
      <c r="G63" s="11"/>
      <c r="H63" s="11">
        <v>16442</v>
      </c>
      <c r="I63" s="11">
        <v>61258</v>
      </c>
      <c r="J63" s="11">
        <v>28688</v>
      </c>
      <c r="K63" s="11">
        <v>54836</v>
      </c>
      <c r="L63" s="11">
        <v>2757</v>
      </c>
      <c r="M63" s="11">
        <v>4740</v>
      </c>
      <c r="N63" s="11">
        <v>21880</v>
      </c>
      <c r="O63" s="11">
        <v>40171</v>
      </c>
      <c r="P63" s="11">
        <v>60847</v>
      </c>
      <c r="Q63" s="11">
        <v>59940</v>
      </c>
      <c r="R63" s="11"/>
      <c r="S63" s="11"/>
      <c r="T63" s="11">
        <v>455</v>
      </c>
      <c r="U63" s="11">
        <v>-19060</v>
      </c>
      <c r="V63" s="11"/>
      <c r="W63" s="11"/>
      <c r="X63" s="11">
        <v>10672</v>
      </c>
      <c r="Y63" s="11">
        <v>21504</v>
      </c>
      <c r="Z63" s="11">
        <v>61</v>
      </c>
      <c r="AA63" s="11">
        <v>141</v>
      </c>
      <c r="AB63" s="11"/>
      <c r="AC63" s="11"/>
      <c r="AD63" s="11"/>
      <c r="AE63" s="11"/>
      <c r="AF63" s="11">
        <v>28407</v>
      </c>
      <c r="AG63" s="11">
        <v>47902</v>
      </c>
      <c r="AH63" s="11">
        <v>4003</v>
      </c>
      <c r="AI63" s="11">
        <v>5800</v>
      </c>
      <c r="AJ63" s="11">
        <v>738</v>
      </c>
      <c r="AK63" s="11">
        <v>1846</v>
      </c>
      <c r="AL63" s="11"/>
      <c r="AM63" s="11"/>
      <c r="AN63" s="11">
        <v>-2103</v>
      </c>
      <c r="AO63" s="11">
        <v>-6032</v>
      </c>
      <c r="AP63" s="11">
        <v>35549.129000000001</v>
      </c>
      <c r="AQ63" s="11">
        <v>66421.705000000002</v>
      </c>
      <c r="AR63" s="11"/>
      <c r="AS63" s="11"/>
      <c r="AT63" s="11">
        <v>162589</v>
      </c>
      <c r="AU63" s="11">
        <v>144890</v>
      </c>
      <c r="AV63" s="11">
        <v>118</v>
      </c>
      <c r="AW63" s="11">
        <v>378</v>
      </c>
      <c r="AX63" s="11">
        <v>46210</v>
      </c>
      <c r="AY63" s="11">
        <v>51500</v>
      </c>
      <c r="AZ63" s="11"/>
      <c r="BA63" s="11"/>
      <c r="BB63" s="11">
        <v>20205</v>
      </c>
      <c r="BC63" s="11">
        <v>35220</v>
      </c>
      <c r="BD63" s="11"/>
      <c r="BE63" s="11"/>
      <c r="BF63" s="11">
        <v>39184</v>
      </c>
      <c r="BG63" s="11">
        <v>61510</v>
      </c>
      <c r="BH63" s="11">
        <v>73449</v>
      </c>
      <c r="BI63" s="11">
        <v>130981</v>
      </c>
      <c r="BJ63" s="11"/>
      <c r="BK63" s="11"/>
      <c r="BL63" s="11">
        <v>9419</v>
      </c>
      <c r="BM63" s="11">
        <v>21313</v>
      </c>
      <c r="BN63" s="11">
        <v>596272</v>
      </c>
      <c r="BO63" s="11">
        <v>726328</v>
      </c>
      <c r="BP63" s="11">
        <v>22068</v>
      </c>
      <c r="BQ63" s="11">
        <v>33842</v>
      </c>
      <c r="BR63" s="99">
        <f t="shared" si="10"/>
        <v>1180603.129</v>
      </c>
      <c r="BS63" s="99">
        <f t="shared" si="11"/>
        <v>1555791.7050000001</v>
      </c>
    </row>
    <row r="64" spans="1:71" x14ac:dyDescent="0.25">
      <c r="A64" s="28" t="s">
        <v>294</v>
      </c>
      <c r="B64" s="11">
        <v>1628</v>
      </c>
      <c r="C64" s="11">
        <v>19438</v>
      </c>
      <c r="D64" s="11">
        <v>28567</v>
      </c>
      <c r="E64" s="11">
        <v>47330</v>
      </c>
      <c r="F64" s="11"/>
      <c r="G64" s="11"/>
      <c r="H64" s="11"/>
      <c r="I64" s="11"/>
      <c r="J64" s="11"/>
      <c r="K64" s="11"/>
      <c r="L64" s="11">
        <v>39287</v>
      </c>
      <c r="M64" s="11">
        <v>65443</v>
      </c>
      <c r="N64" s="11"/>
      <c r="O64" s="11"/>
      <c r="P64" s="11">
        <v>4984</v>
      </c>
      <c r="Q64" s="11">
        <v>7724</v>
      </c>
      <c r="R64" s="11"/>
      <c r="S64" s="11"/>
      <c r="T64" s="11"/>
      <c r="U64" s="11"/>
      <c r="V64" s="11"/>
      <c r="W64" s="11"/>
      <c r="X64" s="11">
        <v>45022</v>
      </c>
      <c r="Y64" s="11">
        <v>94277</v>
      </c>
      <c r="Z64" s="11">
        <v>1150</v>
      </c>
      <c r="AA64" s="11">
        <v>2670</v>
      </c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>
        <v>675433.4530000001</v>
      </c>
      <c r="AQ64" s="11">
        <v>1262012.392</v>
      </c>
      <c r="AR64" s="11"/>
      <c r="AS64" s="11"/>
      <c r="AT64" s="11"/>
      <c r="AU64" s="11"/>
      <c r="AV64" s="11"/>
      <c r="AW64" s="11"/>
      <c r="AX64" s="11">
        <v>59602</v>
      </c>
      <c r="AY64" s="11">
        <v>110186</v>
      </c>
      <c r="AZ64" s="11"/>
      <c r="BA64" s="11"/>
      <c r="BB64" s="11"/>
      <c r="BC64" s="11"/>
      <c r="BD64" s="11"/>
      <c r="BE64" s="11"/>
      <c r="BF64" s="11"/>
      <c r="BG64" s="11"/>
      <c r="BH64" s="11">
        <v>5523</v>
      </c>
      <c r="BI64" s="11">
        <v>8833</v>
      </c>
      <c r="BJ64" s="11"/>
      <c r="BK64" s="11"/>
      <c r="BL64" s="11"/>
      <c r="BM64" s="11"/>
      <c r="BN64" s="11"/>
      <c r="BO64" s="11"/>
      <c r="BP64" s="11"/>
      <c r="BQ64" s="11"/>
      <c r="BR64" s="99">
        <f t="shared" si="10"/>
        <v>861196.4530000001</v>
      </c>
      <c r="BS64" s="99">
        <f t="shared" si="11"/>
        <v>1617913.392</v>
      </c>
    </row>
    <row r="65" spans="1:71" x14ac:dyDescent="0.25">
      <c r="A65" s="28" t="s">
        <v>293</v>
      </c>
      <c r="B65" s="11">
        <v>1723</v>
      </c>
      <c r="C65" s="11">
        <v>1723</v>
      </c>
      <c r="D65" s="11">
        <v>105425</v>
      </c>
      <c r="E65" s="11">
        <v>105425</v>
      </c>
      <c r="F65" s="11"/>
      <c r="G65" s="11"/>
      <c r="H65" s="11">
        <v>99498</v>
      </c>
      <c r="I65" s="11">
        <v>99498</v>
      </c>
      <c r="J65" s="11">
        <v>93556</v>
      </c>
      <c r="K65" s="11">
        <v>976127</v>
      </c>
      <c r="L65" s="11">
        <v>1408</v>
      </c>
      <c r="M65" s="11">
        <v>159394</v>
      </c>
      <c r="N65" s="11">
        <v>21191</v>
      </c>
      <c r="O65" s="11">
        <v>379794</v>
      </c>
      <c r="P65" s="11"/>
      <c r="Q65" s="11"/>
      <c r="R65" s="11"/>
      <c r="S65" s="11"/>
      <c r="T65" s="11">
        <v>5699</v>
      </c>
      <c r="U65" s="11">
        <v>5699</v>
      </c>
      <c r="V65" s="11"/>
      <c r="W65" s="11"/>
      <c r="X65" s="11">
        <v>240808</v>
      </c>
      <c r="Y65" s="11">
        <v>240808</v>
      </c>
      <c r="Z65" s="11">
        <v>6448</v>
      </c>
      <c r="AA65" s="11">
        <v>7792</v>
      </c>
      <c r="AB65" s="11"/>
      <c r="AC65" s="11"/>
      <c r="AD65" s="11"/>
      <c r="AE65" s="11"/>
      <c r="AF65" s="11">
        <v>-79907</v>
      </c>
      <c r="AG65" s="11">
        <v>486937</v>
      </c>
      <c r="AH65" s="11">
        <v>19874</v>
      </c>
      <c r="AI65" s="11">
        <v>19874</v>
      </c>
      <c r="AJ65" s="11">
        <v>155168</v>
      </c>
      <c r="AK65" s="11">
        <v>155168</v>
      </c>
      <c r="AL65" s="11"/>
      <c r="AM65" s="11"/>
      <c r="AN65" s="11">
        <v>140610</v>
      </c>
      <c r="AO65" s="11">
        <v>140610</v>
      </c>
      <c r="AP65" s="11">
        <v>170051.7978307998</v>
      </c>
      <c r="AQ65" s="11">
        <v>2296075.2308307998</v>
      </c>
      <c r="AR65" s="11"/>
      <c r="AS65" s="11"/>
      <c r="AT65" s="11">
        <v>-279602</v>
      </c>
      <c r="AU65" s="11">
        <v>4552004</v>
      </c>
      <c r="AV65" s="11">
        <v>56</v>
      </c>
      <c r="AW65" s="11">
        <v>1649</v>
      </c>
      <c r="AX65" s="11">
        <v>371873</v>
      </c>
      <c r="AY65" s="11">
        <v>371873</v>
      </c>
      <c r="AZ65" s="11"/>
      <c r="BA65" s="11"/>
      <c r="BB65" s="11">
        <v>300938</v>
      </c>
      <c r="BC65" s="11">
        <v>300938</v>
      </c>
      <c r="BD65" s="11"/>
      <c r="BE65" s="11"/>
      <c r="BF65" s="11">
        <v>3815068</v>
      </c>
      <c r="BG65" s="11">
        <v>3815068</v>
      </c>
      <c r="BH65" s="11">
        <v>63565</v>
      </c>
      <c r="BI65" s="11">
        <v>63565</v>
      </c>
      <c r="BJ65" s="11"/>
      <c r="BK65" s="11"/>
      <c r="BL65" s="11">
        <v>8809</v>
      </c>
      <c r="BM65" s="11">
        <v>763379</v>
      </c>
      <c r="BN65" s="11">
        <v>2296267</v>
      </c>
      <c r="BO65" s="11">
        <v>2296267</v>
      </c>
      <c r="BP65" s="11">
        <v>-9674</v>
      </c>
      <c r="BQ65" s="11">
        <v>256359</v>
      </c>
      <c r="BR65" s="99">
        <f t="shared" si="10"/>
        <v>7548852.7978307996</v>
      </c>
      <c r="BS65" s="99">
        <f t="shared" si="11"/>
        <v>17496026.2308308</v>
      </c>
    </row>
    <row r="66" spans="1:71" x14ac:dyDescent="0.25">
      <c r="A66" s="28" t="s">
        <v>292</v>
      </c>
      <c r="B66" s="11">
        <v>15694</v>
      </c>
      <c r="C66" s="11">
        <v>9267</v>
      </c>
      <c r="D66" s="11">
        <v>104675</v>
      </c>
      <c r="E66" s="11">
        <v>97989</v>
      </c>
      <c r="F66" s="11"/>
      <c r="G66" s="11"/>
      <c r="H66" s="11">
        <v>83300</v>
      </c>
      <c r="I66" s="11">
        <v>114387</v>
      </c>
      <c r="J66" s="11"/>
      <c r="K66" s="11">
        <v>773377</v>
      </c>
      <c r="L66" s="11"/>
      <c r="M66" s="11">
        <v>139306</v>
      </c>
      <c r="N66" s="11"/>
      <c r="O66" s="11">
        <v>312509</v>
      </c>
      <c r="P66" s="11">
        <v>357</v>
      </c>
      <c r="Q66" s="11">
        <v>457</v>
      </c>
      <c r="R66" s="11"/>
      <c r="S66" s="11"/>
      <c r="T66" s="11">
        <v>1868</v>
      </c>
      <c r="U66" s="11">
        <v>20342</v>
      </c>
      <c r="V66" s="11"/>
      <c r="W66" s="11"/>
      <c r="X66" s="11">
        <v>279432</v>
      </c>
      <c r="Y66" s="11">
        <v>313622</v>
      </c>
      <c r="Z66" s="11">
        <v>0</v>
      </c>
      <c r="AA66" s="11">
        <v>28</v>
      </c>
      <c r="AB66" s="11"/>
      <c r="AC66" s="11"/>
      <c r="AD66" s="11"/>
      <c r="AE66" s="11"/>
      <c r="AF66" s="11"/>
      <c r="AG66" s="11">
        <v>599720</v>
      </c>
      <c r="AH66" s="11">
        <v>13472</v>
      </c>
      <c r="AI66" s="11">
        <v>9777</v>
      </c>
      <c r="AJ66" s="11">
        <v>138951</v>
      </c>
      <c r="AK66" s="11">
        <v>138951</v>
      </c>
      <c r="AL66" s="11"/>
      <c r="AM66" s="11"/>
      <c r="AN66" s="11">
        <v>112428</v>
      </c>
      <c r="AO66" s="11">
        <v>98300</v>
      </c>
      <c r="AP66" s="11">
        <v>0</v>
      </c>
      <c r="AQ66" s="11">
        <v>2409136.4869999997</v>
      </c>
      <c r="AR66" s="11"/>
      <c r="AS66" s="11"/>
      <c r="AT66" s="11"/>
      <c r="AU66" s="11">
        <v>4413669</v>
      </c>
      <c r="AV66" s="11"/>
      <c r="AW66" s="11">
        <v>686</v>
      </c>
      <c r="AX66" s="11">
        <v>359185</v>
      </c>
      <c r="AY66" s="11">
        <v>345153</v>
      </c>
      <c r="AZ66" s="11"/>
      <c r="BA66" s="11"/>
      <c r="BB66" s="11">
        <v>254165</v>
      </c>
      <c r="BC66" s="11">
        <v>230217</v>
      </c>
      <c r="BD66" s="11"/>
      <c r="BE66" s="11"/>
      <c r="BF66" s="11">
        <v>4138445</v>
      </c>
      <c r="BG66" s="11">
        <v>3724563</v>
      </c>
      <c r="BH66" s="11">
        <v>55321</v>
      </c>
      <c r="BI66" s="11">
        <v>40341</v>
      </c>
      <c r="BJ66" s="11"/>
      <c r="BK66" s="11"/>
      <c r="BL66" s="11">
        <v>1</v>
      </c>
      <c r="BM66" s="11">
        <v>717392</v>
      </c>
      <c r="BN66" s="11">
        <v>2120139</v>
      </c>
      <c r="BO66" s="11">
        <v>1875578</v>
      </c>
      <c r="BP66" s="11"/>
      <c r="BQ66" s="11">
        <v>205908</v>
      </c>
      <c r="BR66" s="99">
        <f t="shared" si="10"/>
        <v>7677433</v>
      </c>
      <c r="BS66" s="99">
        <f t="shared" si="11"/>
        <v>16590675.487</v>
      </c>
    </row>
    <row r="67" spans="1:71" x14ac:dyDescent="0.25">
      <c r="A67" s="28" t="s">
        <v>287</v>
      </c>
      <c r="B67" s="11">
        <v>-12343</v>
      </c>
      <c r="C67" s="11">
        <v>11894</v>
      </c>
      <c r="D67" s="11">
        <v>29317</v>
      </c>
      <c r="E67" s="11">
        <v>54766</v>
      </c>
      <c r="F67" s="11"/>
      <c r="G67" s="11"/>
      <c r="H67" s="11">
        <v>55931</v>
      </c>
      <c r="I67" s="11">
        <v>46907</v>
      </c>
      <c r="J67" s="11">
        <v>305086</v>
      </c>
      <c r="K67" s="11">
        <v>616610</v>
      </c>
      <c r="L67" s="11">
        <v>40695</v>
      </c>
      <c r="M67" s="11">
        <v>85531</v>
      </c>
      <c r="N67" s="11">
        <v>164850</v>
      </c>
      <c r="O67" s="11">
        <v>317855</v>
      </c>
      <c r="P67" s="11">
        <v>4627</v>
      </c>
      <c r="Q67" s="11">
        <v>7267</v>
      </c>
      <c r="R67" s="11">
        <v>5318</v>
      </c>
      <c r="S67" s="11">
        <v>4643</v>
      </c>
      <c r="T67" s="11">
        <v>4464</v>
      </c>
      <c r="U67" s="11">
        <v>11339</v>
      </c>
      <c r="V67" s="11"/>
      <c r="W67" s="11"/>
      <c r="X67" s="11">
        <v>6397</v>
      </c>
      <c r="Y67" s="11">
        <v>21463</v>
      </c>
      <c r="Z67" s="11">
        <v>7599</v>
      </c>
      <c r="AA67" s="11">
        <v>10434</v>
      </c>
      <c r="AB67" s="11">
        <v>484493</v>
      </c>
      <c r="AC67" s="11">
        <v>934095</v>
      </c>
      <c r="AD67" s="11">
        <v>166202</v>
      </c>
      <c r="AE67" s="11">
        <v>470333</v>
      </c>
      <c r="AF67" s="11">
        <v>158471</v>
      </c>
      <c r="AG67" s="11">
        <v>301802</v>
      </c>
      <c r="AH67" s="11">
        <v>9406</v>
      </c>
      <c r="AI67" s="11">
        <v>14392</v>
      </c>
      <c r="AJ67" s="11">
        <v>30016</v>
      </c>
      <c r="AK67" s="11">
        <v>48057</v>
      </c>
      <c r="AL67" s="11">
        <v>1912</v>
      </c>
      <c r="AM67" s="11">
        <v>12492</v>
      </c>
      <c r="AN67" s="11">
        <v>40318</v>
      </c>
      <c r="AO67" s="11">
        <v>61963</v>
      </c>
      <c r="AP67" s="11">
        <v>845485.25083079992</v>
      </c>
      <c r="AQ67" s="11">
        <v>1148951.1358308</v>
      </c>
      <c r="AR67" s="11">
        <v>1397209</v>
      </c>
      <c r="AS67" s="11">
        <v>2659758</v>
      </c>
      <c r="AT67" s="11">
        <v>1781753</v>
      </c>
      <c r="AU67" s="11">
        <v>3662565</v>
      </c>
      <c r="AV67" s="11">
        <v>95</v>
      </c>
      <c r="AW67" s="11">
        <v>1083</v>
      </c>
      <c r="AX67" s="11">
        <v>72290</v>
      </c>
      <c r="AY67" s="11">
        <v>136906</v>
      </c>
      <c r="AZ67" s="11"/>
      <c r="BA67" s="11"/>
      <c r="BB67" s="11">
        <v>91079</v>
      </c>
      <c r="BC67" s="11">
        <v>145463</v>
      </c>
      <c r="BD67" s="11">
        <v>63848</v>
      </c>
      <c r="BE67" s="11">
        <v>111367</v>
      </c>
      <c r="BF67" s="11">
        <v>431025</v>
      </c>
      <c r="BG67" s="11">
        <v>1262411</v>
      </c>
      <c r="BH67" s="11">
        <v>13766</v>
      </c>
      <c r="BI67" s="11">
        <v>32056</v>
      </c>
      <c r="BJ67" s="11"/>
      <c r="BK67" s="11"/>
      <c r="BL67" s="11">
        <v>189418</v>
      </c>
      <c r="BM67" s="11">
        <v>417545</v>
      </c>
      <c r="BN67" s="11">
        <v>985451</v>
      </c>
      <c r="BO67" s="11">
        <v>1897332</v>
      </c>
      <c r="BP67" s="11">
        <v>65076</v>
      </c>
      <c r="BQ67" s="11">
        <v>175361</v>
      </c>
      <c r="BR67" s="99">
        <f>SUM(B67+D67+F67+H67+J67+L67+N67+P67+R67+T67+V67+X67+Z67+AB67+AD67+AF67+AH67+AJ67+AL67+AN67+AP67+AR67+AT67+AV67+AX67+AZ67+BB67+BD67+BF67+BH67+BJ67+BL67+BN67+BP67)</f>
        <v>7439254.2508307993</v>
      </c>
      <c r="BS67" s="99">
        <f>SUM(C67+E67+G67+I67+K67+M67+O67+Q67+S67+U67+W67+Y67+AA67+AC67+AE67+AG67+AI67+AK67+AM67+AO67+AQ67+AS67+AU67+AW67+AY67+BA67+BC67+BE67+BG67+BI67+BK67+BM67+BO67+BQ67)</f>
        <v>14682641.135830801</v>
      </c>
    </row>
    <row r="68" spans="1:71" x14ac:dyDescent="0.25">
      <c r="A68" s="19"/>
    </row>
    <row r="69" spans="1:71" x14ac:dyDescent="0.25">
      <c r="A69" s="35" t="s">
        <v>236</v>
      </c>
    </row>
    <row r="70" spans="1:71" x14ac:dyDescent="0.25">
      <c r="A70" s="4" t="s">
        <v>0</v>
      </c>
      <c r="B70" s="105" t="s">
        <v>1</v>
      </c>
      <c r="C70" s="106"/>
      <c r="D70" s="105" t="s">
        <v>2</v>
      </c>
      <c r="E70" s="106"/>
      <c r="F70" s="105" t="s">
        <v>3</v>
      </c>
      <c r="G70" s="106"/>
      <c r="H70" s="105" t="s">
        <v>4</v>
      </c>
      <c r="I70" s="106"/>
      <c r="J70" s="105" t="s">
        <v>5</v>
      </c>
      <c r="K70" s="106"/>
      <c r="L70" s="105" t="s">
        <v>6</v>
      </c>
      <c r="M70" s="106"/>
      <c r="N70" s="105" t="s">
        <v>7</v>
      </c>
      <c r="O70" s="106"/>
      <c r="P70" s="105" t="s">
        <v>8</v>
      </c>
      <c r="Q70" s="106"/>
      <c r="R70" s="105" t="s">
        <v>9</v>
      </c>
      <c r="S70" s="106"/>
      <c r="T70" s="105" t="s">
        <v>10</v>
      </c>
      <c r="U70" s="106"/>
      <c r="V70" s="105" t="s">
        <v>11</v>
      </c>
      <c r="W70" s="106"/>
      <c r="X70" s="105" t="s">
        <v>12</v>
      </c>
      <c r="Y70" s="106"/>
      <c r="Z70" s="105" t="s">
        <v>13</v>
      </c>
      <c r="AA70" s="106"/>
      <c r="AB70" s="105" t="s">
        <v>14</v>
      </c>
      <c r="AC70" s="106"/>
      <c r="AD70" s="105" t="s">
        <v>15</v>
      </c>
      <c r="AE70" s="106"/>
      <c r="AF70" s="105" t="s">
        <v>16</v>
      </c>
      <c r="AG70" s="106"/>
      <c r="AH70" s="105" t="s">
        <v>17</v>
      </c>
      <c r="AI70" s="106"/>
      <c r="AJ70" s="105" t="s">
        <v>18</v>
      </c>
      <c r="AK70" s="106"/>
      <c r="AL70" s="105" t="s">
        <v>19</v>
      </c>
      <c r="AM70" s="106"/>
      <c r="AN70" s="105" t="s">
        <v>20</v>
      </c>
      <c r="AO70" s="106"/>
      <c r="AP70" s="105" t="s">
        <v>21</v>
      </c>
      <c r="AQ70" s="106"/>
      <c r="AR70" s="105" t="s">
        <v>22</v>
      </c>
      <c r="AS70" s="106"/>
      <c r="AT70" s="105" t="s">
        <v>23</v>
      </c>
      <c r="AU70" s="106"/>
      <c r="AV70" s="105" t="s">
        <v>24</v>
      </c>
      <c r="AW70" s="106"/>
      <c r="AX70" s="105" t="s">
        <v>25</v>
      </c>
      <c r="AY70" s="106"/>
      <c r="AZ70" s="105" t="s">
        <v>26</v>
      </c>
      <c r="BA70" s="106"/>
      <c r="BB70" s="105" t="s">
        <v>27</v>
      </c>
      <c r="BC70" s="106"/>
      <c r="BD70" s="105" t="s">
        <v>28</v>
      </c>
      <c r="BE70" s="106"/>
      <c r="BF70" s="105" t="s">
        <v>29</v>
      </c>
      <c r="BG70" s="106"/>
      <c r="BH70" s="105" t="s">
        <v>30</v>
      </c>
      <c r="BI70" s="106"/>
      <c r="BJ70" s="105" t="s">
        <v>31</v>
      </c>
      <c r="BK70" s="106"/>
      <c r="BL70" s="105" t="s">
        <v>32</v>
      </c>
      <c r="BM70" s="106"/>
      <c r="BN70" s="109" t="s">
        <v>33</v>
      </c>
      <c r="BO70" s="110"/>
      <c r="BP70" s="105" t="s">
        <v>34</v>
      </c>
      <c r="BQ70" s="106"/>
      <c r="BR70" s="107" t="s">
        <v>35</v>
      </c>
      <c r="BS70" s="108"/>
    </row>
    <row r="71" spans="1:71" ht="30" x14ac:dyDescent="0.25">
      <c r="A71" s="4"/>
      <c r="B71" s="76" t="s">
        <v>295</v>
      </c>
      <c r="C71" s="77" t="s">
        <v>296</v>
      </c>
      <c r="D71" s="76" t="s">
        <v>295</v>
      </c>
      <c r="E71" s="77" t="s">
        <v>296</v>
      </c>
      <c r="F71" s="76" t="s">
        <v>295</v>
      </c>
      <c r="G71" s="77" t="s">
        <v>296</v>
      </c>
      <c r="H71" s="76" t="s">
        <v>295</v>
      </c>
      <c r="I71" s="77" t="s">
        <v>296</v>
      </c>
      <c r="J71" s="76" t="s">
        <v>295</v>
      </c>
      <c r="K71" s="77" t="s">
        <v>296</v>
      </c>
      <c r="L71" s="76" t="s">
        <v>295</v>
      </c>
      <c r="M71" s="77" t="s">
        <v>296</v>
      </c>
      <c r="N71" s="76" t="s">
        <v>295</v>
      </c>
      <c r="O71" s="77" t="s">
        <v>296</v>
      </c>
      <c r="P71" s="76" t="s">
        <v>295</v>
      </c>
      <c r="Q71" s="77" t="s">
        <v>296</v>
      </c>
      <c r="R71" s="76" t="s">
        <v>295</v>
      </c>
      <c r="S71" s="77" t="s">
        <v>296</v>
      </c>
      <c r="T71" s="76" t="s">
        <v>295</v>
      </c>
      <c r="U71" s="77" t="s">
        <v>296</v>
      </c>
      <c r="V71" s="76" t="s">
        <v>295</v>
      </c>
      <c r="W71" s="77" t="s">
        <v>296</v>
      </c>
      <c r="X71" s="76" t="s">
        <v>295</v>
      </c>
      <c r="Y71" s="77" t="s">
        <v>296</v>
      </c>
      <c r="Z71" s="76" t="s">
        <v>295</v>
      </c>
      <c r="AA71" s="77" t="s">
        <v>296</v>
      </c>
      <c r="AB71" s="76" t="s">
        <v>295</v>
      </c>
      <c r="AC71" s="77" t="s">
        <v>296</v>
      </c>
      <c r="AD71" s="76" t="s">
        <v>295</v>
      </c>
      <c r="AE71" s="77" t="s">
        <v>296</v>
      </c>
      <c r="AF71" s="76" t="s">
        <v>295</v>
      </c>
      <c r="AG71" s="77" t="s">
        <v>296</v>
      </c>
      <c r="AH71" s="76" t="s">
        <v>295</v>
      </c>
      <c r="AI71" s="77" t="s">
        <v>296</v>
      </c>
      <c r="AJ71" s="76" t="s">
        <v>295</v>
      </c>
      <c r="AK71" s="77" t="s">
        <v>296</v>
      </c>
      <c r="AL71" s="76" t="s">
        <v>295</v>
      </c>
      <c r="AM71" s="77" t="s">
        <v>296</v>
      </c>
      <c r="AN71" s="76" t="s">
        <v>295</v>
      </c>
      <c r="AO71" s="77" t="s">
        <v>296</v>
      </c>
      <c r="AP71" s="76" t="s">
        <v>295</v>
      </c>
      <c r="AQ71" s="77" t="s">
        <v>296</v>
      </c>
      <c r="AR71" s="76" t="s">
        <v>295</v>
      </c>
      <c r="AS71" s="77" t="s">
        <v>296</v>
      </c>
      <c r="AT71" s="76" t="s">
        <v>295</v>
      </c>
      <c r="AU71" s="77" t="s">
        <v>296</v>
      </c>
      <c r="AV71" s="76" t="s">
        <v>295</v>
      </c>
      <c r="AW71" s="77" t="s">
        <v>296</v>
      </c>
      <c r="AX71" s="76" t="s">
        <v>295</v>
      </c>
      <c r="AY71" s="77" t="s">
        <v>296</v>
      </c>
      <c r="AZ71" s="76" t="s">
        <v>295</v>
      </c>
      <c r="BA71" s="77" t="s">
        <v>296</v>
      </c>
      <c r="BB71" s="76" t="s">
        <v>295</v>
      </c>
      <c r="BC71" s="77" t="s">
        <v>296</v>
      </c>
      <c r="BD71" s="76" t="s">
        <v>295</v>
      </c>
      <c r="BE71" s="77" t="s">
        <v>296</v>
      </c>
      <c r="BF71" s="76" t="s">
        <v>295</v>
      </c>
      <c r="BG71" s="77" t="s">
        <v>296</v>
      </c>
      <c r="BH71" s="76" t="s">
        <v>295</v>
      </c>
      <c r="BI71" s="77" t="s">
        <v>296</v>
      </c>
      <c r="BJ71" s="76" t="s">
        <v>295</v>
      </c>
      <c r="BK71" s="77" t="s">
        <v>296</v>
      </c>
      <c r="BL71" s="76" t="s">
        <v>295</v>
      </c>
      <c r="BM71" s="77" t="s">
        <v>296</v>
      </c>
      <c r="BN71" s="76" t="s">
        <v>295</v>
      </c>
      <c r="BO71" s="77" t="s">
        <v>296</v>
      </c>
      <c r="BP71" s="76" t="s">
        <v>295</v>
      </c>
      <c r="BQ71" s="77" t="s">
        <v>296</v>
      </c>
      <c r="BR71" s="95" t="s">
        <v>295</v>
      </c>
      <c r="BS71" s="96" t="s">
        <v>296</v>
      </c>
    </row>
    <row r="72" spans="1:71" x14ac:dyDescent="0.25">
      <c r="A72" s="28" t="s">
        <v>242</v>
      </c>
      <c r="B72" s="11">
        <v>50335</v>
      </c>
      <c r="C72" s="11">
        <v>84004</v>
      </c>
      <c r="D72" s="11"/>
      <c r="E72" s="11"/>
      <c r="F72" s="11"/>
      <c r="G72" s="11"/>
      <c r="H72" s="11"/>
      <c r="I72" s="11"/>
      <c r="J72" s="11">
        <v>52948</v>
      </c>
      <c r="K72" s="11">
        <v>68250</v>
      </c>
      <c r="L72" s="11">
        <v>-5037</v>
      </c>
      <c r="M72" s="11">
        <v>-891</v>
      </c>
      <c r="N72" s="11">
        <v>5953</v>
      </c>
      <c r="O72" s="11">
        <v>16183</v>
      </c>
      <c r="P72" s="11"/>
      <c r="Q72" s="11"/>
      <c r="R72" s="11"/>
      <c r="S72" s="11"/>
      <c r="T72" s="11"/>
      <c r="U72" s="11"/>
      <c r="V72" s="11"/>
      <c r="W72" s="11"/>
      <c r="X72" s="11">
        <v>4259</v>
      </c>
      <c r="Y72" s="11">
        <v>8749</v>
      </c>
      <c r="Z72" s="11"/>
      <c r="AA72" s="11"/>
      <c r="AB72" s="11">
        <v>36</v>
      </c>
      <c r="AC72" s="11">
        <v>36</v>
      </c>
      <c r="AD72" s="11">
        <v>81959</v>
      </c>
      <c r="AE72" s="11">
        <v>125608</v>
      </c>
      <c r="AF72" s="11">
        <v>161</v>
      </c>
      <c r="AG72" s="11">
        <v>14325</v>
      </c>
      <c r="AH72" s="11"/>
      <c r="AI72" s="11"/>
      <c r="AJ72" s="11">
        <v>94</v>
      </c>
      <c r="AK72" s="11">
        <v>94</v>
      </c>
      <c r="AL72" s="11"/>
      <c r="AM72" s="11"/>
      <c r="AN72" s="11"/>
      <c r="AO72" s="11"/>
      <c r="AP72" s="11">
        <v>2460.8669999999993</v>
      </c>
      <c r="AQ72" s="11">
        <v>10553.793</v>
      </c>
      <c r="AR72" s="11">
        <v>421506</v>
      </c>
      <c r="AS72" s="11">
        <v>864214</v>
      </c>
      <c r="AT72" s="11">
        <v>10805</v>
      </c>
      <c r="AU72" s="11">
        <v>27839</v>
      </c>
      <c r="AV72" s="11">
        <v>64</v>
      </c>
      <c r="AW72" s="11">
        <v>199</v>
      </c>
      <c r="AX72" s="11">
        <v>1352</v>
      </c>
      <c r="AY72" s="11">
        <v>2353</v>
      </c>
      <c r="AZ72" s="11"/>
      <c r="BA72" s="11"/>
      <c r="BB72" s="11"/>
      <c r="BC72" s="11"/>
      <c r="BD72" s="11">
        <v>135</v>
      </c>
      <c r="BE72" s="11">
        <v>2037</v>
      </c>
      <c r="BF72" s="11"/>
      <c r="BG72" s="11">
        <v>5250</v>
      </c>
      <c r="BH72" s="11"/>
      <c r="BI72" s="11"/>
      <c r="BJ72" s="11"/>
      <c r="BK72" s="11"/>
      <c r="BL72" s="11">
        <v>83551</v>
      </c>
      <c r="BM72" s="11">
        <v>183019</v>
      </c>
      <c r="BN72" s="11">
        <v>29919</v>
      </c>
      <c r="BO72" s="11">
        <v>87711</v>
      </c>
      <c r="BP72" s="11"/>
      <c r="BQ72" s="11"/>
      <c r="BR72" s="99">
        <f>SUM(B72+D72+F72+H72+J72+L72+N72+P72+R72+T72+V72+X72+Z72+AB72+AD72+AF72+AH72+AJ72+AL72+AN72+AP72+AR72+AT72+AV72+AX72+AZ72+BB72+BD72+BF72+BH72+BJ72+BL72+BN72+BP72)</f>
        <v>740500.86699999997</v>
      </c>
      <c r="BS72" s="99">
        <f>SUM(C72+E72+G72+I72+K72+M72+O72+Q72+S72+U72+W72+Y72+AA72+AC72+AE72+AG72+AI72+AK72+AM72+AO72+AQ72+AS72+AU72+AW72+AY72+BA72+BC72+BE72+BG72+BI72+BK72+BM72+BO72+BQ72)</f>
        <v>1499533.7930000001</v>
      </c>
    </row>
    <row r="73" spans="1:71" x14ac:dyDescent="0.25">
      <c r="A73" s="28" t="s">
        <v>290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>
        <v>0</v>
      </c>
      <c r="AQ73" s="11">
        <v>0</v>
      </c>
      <c r="AR73" s="11"/>
      <c r="AS73" s="11"/>
      <c r="AT73" s="11">
        <v>14591</v>
      </c>
      <c r="AU73" s="11">
        <v>15138</v>
      </c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>
        <v>1467</v>
      </c>
      <c r="BM73" s="11">
        <v>1792</v>
      </c>
      <c r="BN73" s="11"/>
      <c r="BO73" s="11">
        <v>3</v>
      </c>
      <c r="BP73" s="11"/>
      <c r="BQ73" s="11"/>
      <c r="BR73" s="99">
        <f>SUM(B73+D73+F73+H73+J73+L73+N73+P73+R73+T73+V73+X73+Z73+AB73+AD73+AF73+AH73+AJ73+AL73+AN73+AP73+AR73+AT73+AV73+AX73+AZ73+BB73+BD73+BF73+BH73+BJ73+BL73+BN73+BP73)</f>
        <v>16058</v>
      </c>
      <c r="BS73" s="99">
        <f>SUM(C73+E73+G73+I73+K73+M73+O73+Q73+S73+U73+W73+Y73+AA73+AC73+AE73+AG73+AI73+AK73+AM73+AO73+AQ73+AS73+AU73+AW73+AY73+BA73+BC73+BE73+BG73+BI73+BK73+BM73+BO73+BQ73)</f>
        <v>16933</v>
      </c>
    </row>
    <row r="74" spans="1:71" x14ac:dyDescent="0.25">
      <c r="A74" s="28" t="s">
        <v>291</v>
      </c>
      <c r="B74" s="11">
        <v>32718</v>
      </c>
      <c r="C74" s="11">
        <v>54603</v>
      </c>
      <c r="D74" s="11"/>
      <c r="E74" s="11"/>
      <c r="F74" s="11"/>
      <c r="G74" s="11"/>
      <c r="H74" s="11"/>
      <c r="I74" s="11"/>
      <c r="J74" s="11">
        <v>52219</v>
      </c>
      <c r="K74" s="11">
        <v>67259</v>
      </c>
      <c r="L74" s="11">
        <v>-1938</v>
      </c>
      <c r="M74" s="11">
        <v>993</v>
      </c>
      <c r="N74" s="11">
        <v>5049</v>
      </c>
      <c r="O74" s="11">
        <v>13655</v>
      </c>
      <c r="P74" s="11"/>
      <c r="Q74" s="11"/>
      <c r="R74" s="11"/>
      <c r="S74" s="11"/>
      <c r="T74" s="11"/>
      <c r="U74" s="11">
        <v>-992</v>
      </c>
      <c r="V74" s="11"/>
      <c r="W74" s="11"/>
      <c r="X74" s="11">
        <v>1147</v>
      </c>
      <c r="Y74" s="11">
        <v>1086</v>
      </c>
      <c r="Z74" s="11"/>
      <c r="AA74" s="11"/>
      <c r="AB74" s="11"/>
      <c r="AC74" s="11"/>
      <c r="AD74" s="11"/>
      <c r="AE74" s="11"/>
      <c r="AF74" s="11">
        <v>41</v>
      </c>
      <c r="AG74" s="11">
        <v>5953</v>
      </c>
      <c r="AH74" s="11"/>
      <c r="AI74" s="11"/>
      <c r="AJ74" s="11">
        <v>5</v>
      </c>
      <c r="AK74" s="11">
        <v>5</v>
      </c>
      <c r="AL74" s="11"/>
      <c r="AM74" s="11"/>
      <c r="AN74" s="11"/>
      <c r="AO74" s="11"/>
      <c r="AP74" s="11">
        <v>131.19800000000004</v>
      </c>
      <c r="AQ74" s="11">
        <v>535.84400000000005</v>
      </c>
      <c r="AR74" s="11"/>
      <c r="AS74" s="11"/>
      <c r="AT74" s="11">
        <v>11749</v>
      </c>
      <c r="AU74" s="11">
        <v>21396</v>
      </c>
      <c r="AV74" s="11">
        <v>3</v>
      </c>
      <c r="AW74" s="11">
        <v>10</v>
      </c>
      <c r="AX74" s="11">
        <v>73</v>
      </c>
      <c r="AY74" s="11">
        <v>126</v>
      </c>
      <c r="AZ74" s="11"/>
      <c r="BA74" s="11"/>
      <c r="BB74" s="11"/>
      <c r="BC74" s="11"/>
      <c r="BD74" s="11"/>
      <c r="BE74" s="11"/>
      <c r="BF74" s="11"/>
      <c r="BG74" s="11">
        <v>4577</v>
      </c>
      <c r="BH74" s="11"/>
      <c r="BI74" s="11"/>
      <c r="BJ74" s="11"/>
      <c r="BK74" s="11"/>
      <c r="BL74" s="11">
        <v>36482</v>
      </c>
      <c r="BM74" s="11">
        <v>47323</v>
      </c>
      <c r="BN74" s="11">
        <v>1850</v>
      </c>
      <c r="BO74" s="11">
        <v>6661</v>
      </c>
      <c r="BP74" s="11"/>
      <c r="BQ74" s="11"/>
      <c r="BR74" s="99">
        <f t="shared" ref="BR74:BR77" si="12">SUM(B74+D74+F74+H74+J74+L74+N74+P74+R74+T74+V74+X74+Z74+AB74+AD74+AF74+AH74+AJ74+AL74+AN74+AP74+AR74+AT74+AV74+AX74+AZ74+BB74+BD74+BF74+BH74+BJ74+BL74+BN74+BP74)</f>
        <v>139529.198</v>
      </c>
      <c r="BS74" s="99">
        <f t="shared" ref="BS74:BS77" si="13">SUM(C74+E74+G74+I74+K74+M74+O74+Q74+S74+U74+W74+Y74+AA74+AC74+AE74+AG74+AI74+AK74+AM74+AO74+AQ74+AS74+AU74+AW74+AY74+BA74+BC74+BE74+BG74+BI74+BK74+BM74+BO74+BQ74)</f>
        <v>223190.84400000001</v>
      </c>
    </row>
    <row r="75" spans="1:71" x14ac:dyDescent="0.25">
      <c r="A75" s="28" t="s">
        <v>294</v>
      </c>
      <c r="B75" s="11">
        <v>17617</v>
      </c>
      <c r="C75" s="11">
        <v>29401</v>
      </c>
      <c r="D75" s="11"/>
      <c r="E75" s="11"/>
      <c r="F75" s="11"/>
      <c r="G75" s="11"/>
      <c r="H75" s="11"/>
      <c r="I75" s="11"/>
      <c r="J75" s="11"/>
      <c r="K75" s="11"/>
      <c r="L75" s="11">
        <v>-3099</v>
      </c>
      <c r="M75" s="11">
        <v>-1884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>
        <v>3112</v>
      </c>
      <c r="Y75" s="11">
        <v>7663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>
        <v>2329.6689999999994</v>
      </c>
      <c r="AQ75" s="11">
        <v>10017.949000000001</v>
      </c>
      <c r="AR75" s="11"/>
      <c r="AS75" s="11"/>
      <c r="AT75" s="11"/>
      <c r="AU75" s="11"/>
      <c r="AV75" s="11"/>
      <c r="AW75" s="11"/>
      <c r="AX75" s="11">
        <v>1279</v>
      </c>
      <c r="AY75" s="11">
        <v>2227</v>
      </c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99">
        <f t="shared" si="12"/>
        <v>21238.668999999998</v>
      </c>
      <c r="BS75" s="99">
        <f t="shared" si="13"/>
        <v>47424.949000000001</v>
      </c>
    </row>
    <row r="76" spans="1:71" x14ac:dyDescent="0.25">
      <c r="A76" s="28" t="s">
        <v>293</v>
      </c>
      <c r="B76" s="11">
        <v>34297</v>
      </c>
      <c r="C76" s="11">
        <v>34297</v>
      </c>
      <c r="D76" s="11"/>
      <c r="E76" s="11"/>
      <c r="F76" s="11"/>
      <c r="G76" s="11"/>
      <c r="H76" s="11"/>
      <c r="I76" s="11"/>
      <c r="J76" s="11">
        <v>89</v>
      </c>
      <c r="K76" s="11">
        <v>84944</v>
      </c>
      <c r="L76" s="11">
        <v>42931</v>
      </c>
      <c r="M76" s="11">
        <v>200067</v>
      </c>
      <c r="N76" s="11">
        <v>-145</v>
      </c>
      <c r="O76" s="11">
        <v>14549</v>
      </c>
      <c r="P76" s="11"/>
      <c r="Q76" s="11"/>
      <c r="R76" s="11"/>
      <c r="S76" s="11"/>
      <c r="T76" s="11"/>
      <c r="U76" s="11"/>
      <c r="V76" s="11"/>
      <c r="W76" s="11"/>
      <c r="X76" s="11">
        <v>17699</v>
      </c>
      <c r="Y76" s="11">
        <v>17699</v>
      </c>
      <c r="Z76" s="11"/>
      <c r="AA76" s="11"/>
      <c r="AB76" s="11"/>
      <c r="AC76" s="11"/>
      <c r="AD76" s="11"/>
      <c r="AE76" s="11"/>
      <c r="AF76" s="11">
        <v>16097</v>
      </c>
      <c r="AG76" s="11">
        <v>202955</v>
      </c>
      <c r="AH76" s="11"/>
      <c r="AI76" s="11"/>
      <c r="AJ76" s="11">
        <v>38247</v>
      </c>
      <c r="AK76" s="11">
        <v>38247</v>
      </c>
      <c r="AL76" s="11"/>
      <c r="AM76" s="11"/>
      <c r="AN76" s="11"/>
      <c r="AO76" s="11"/>
      <c r="AP76" s="11">
        <v>23315.021182327324</v>
      </c>
      <c r="AQ76" s="11">
        <v>349884.87518232735</v>
      </c>
      <c r="AR76" s="11"/>
      <c r="AS76" s="11"/>
      <c r="AT76" s="11">
        <v>8024</v>
      </c>
      <c r="AU76" s="11">
        <v>1371856</v>
      </c>
      <c r="AV76" s="11">
        <v>1419</v>
      </c>
      <c r="AW76" s="11">
        <v>18129</v>
      </c>
      <c r="AX76" s="11">
        <v>176167</v>
      </c>
      <c r="AY76" s="11">
        <v>176167</v>
      </c>
      <c r="AZ76" s="11"/>
      <c r="BA76" s="11"/>
      <c r="BB76" s="11"/>
      <c r="BC76" s="11"/>
      <c r="BD76" s="11"/>
      <c r="BE76" s="11"/>
      <c r="BF76" s="11">
        <v>42709</v>
      </c>
      <c r="BG76" s="11">
        <v>42709</v>
      </c>
      <c r="BH76" s="11">
        <v>6420</v>
      </c>
      <c r="BI76" s="11">
        <v>6420</v>
      </c>
      <c r="BJ76" s="11"/>
      <c r="BK76" s="11"/>
      <c r="BL76" s="11">
        <v>243414</v>
      </c>
      <c r="BM76" s="11">
        <v>2365372</v>
      </c>
      <c r="BN76" s="11">
        <v>1520213</v>
      </c>
      <c r="BO76" s="11">
        <v>1520213</v>
      </c>
      <c r="BP76" s="11">
        <v>194</v>
      </c>
      <c r="BQ76" s="11">
        <v>2712</v>
      </c>
      <c r="BR76" s="99">
        <f t="shared" si="12"/>
        <v>2171090.0211823275</v>
      </c>
      <c r="BS76" s="99">
        <f t="shared" si="13"/>
        <v>6446220.8751823269</v>
      </c>
    </row>
    <row r="77" spans="1:71" x14ac:dyDescent="0.25">
      <c r="A77" s="28" t="s">
        <v>292</v>
      </c>
      <c r="B77" s="11">
        <v>30043</v>
      </c>
      <c r="C77" s="11">
        <v>13255</v>
      </c>
      <c r="D77" s="11"/>
      <c r="E77" s="11"/>
      <c r="F77" s="11"/>
      <c r="G77" s="11"/>
      <c r="H77" s="11"/>
      <c r="I77" s="11"/>
      <c r="J77" s="11"/>
      <c r="K77" s="11">
        <v>82533</v>
      </c>
      <c r="L77" s="11"/>
      <c r="M77" s="11">
        <v>153032</v>
      </c>
      <c r="N77" s="11"/>
      <c r="O77" s="11">
        <v>18578</v>
      </c>
      <c r="P77" s="11"/>
      <c r="Q77" s="11"/>
      <c r="R77" s="11"/>
      <c r="S77" s="11"/>
      <c r="T77" s="11"/>
      <c r="U77" s="11">
        <v>992</v>
      </c>
      <c r="V77" s="11"/>
      <c r="W77" s="11"/>
      <c r="X77" s="11">
        <v>17132</v>
      </c>
      <c r="Y77" s="11">
        <v>16978</v>
      </c>
      <c r="Z77" s="11"/>
      <c r="AA77" s="11"/>
      <c r="AB77" s="11"/>
      <c r="AC77" s="11"/>
      <c r="AD77" s="11"/>
      <c r="AE77" s="11"/>
      <c r="AF77" s="11"/>
      <c r="AG77" s="11">
        <v>154799</v>
      </c>
      <c r="AH77" s="11"/>
      <c r="AI77" s="11"/>
      <c r="AJ77" s="11">
        <v>36102</v>
      </c>
      <c r="AK77" s="11">
        <v>36102</v>
      </c>
      <c r="AL77" s="11"/>
      <c r="AM77" s="11"/>
      <c r="AN77" s="11"/>
      <c r="AO77" s="11"/>
      <c r="AP77" s="11">
        <v>0</v>
      </c>
      <c r="AQ77" s="11">
        <v>325793.429</v>
      </c>
      <c r="AR77" s="11"/>
      <c r="AS77" s="11"/>
      <c r="AT77" s="11"/>
      <c r="AU77" s="11">
        <v>1347162</v>
      </c>
      <c r="AV77" s="11"/>
      <c r="AW77" s="11">
        <v>12860</v>
      </c>
      <c r="AX77" s="11">
        <v>164647</v>
      </c>
      <c r="AY77" s="11">
        <v>155010</v>
      </c>
      <c r="AZ77" s="11"/>
      <c r="BA77" s="11"/>
      <c r="BB77" s="11"/>
      <c r="BC77" s="11"/>
      <c r="BD77" s="11"/>
      <c r="BE77" s="11"/>
      <c r="BF77" s="11">
        <v>37811</v>
      </c>
      <c r="BG77" s="11">
        <v>34635</v>
      </c>
      <c r="BH77" s="11">
        <v>6391</v>
      </c>
      <c r="BI77" s="11">
        <v>6419</v>
      </c>
      <c r="BJ77" s="11"/>
      <c r="BK77" s="11"/>
      <c r="BL77" s="11"/>
      <c r="BM77" s="11">
        <v>2018781</v>
      </c>
      <c r="BN77" s="11">
        <v>1420660</v>
      </c>
      <c r="BO77" s="11">
        <v>1457831</v>
      </c>
      <c r="BP77" s="11"/>
      <c r="BQ77" s="11">
        <v>2428</v>
      </c>
      <c r="BR77" s="99">
        <f t="shared" si="12"/>
        <v>1712786</v>
      </c>
      <c r="BS77" s="99">
        <f t="shared" si="13"/>
        <v>5837188.4289999995</v>
      </c>
    </row>
    <row r="78" spans="1:71" x14ac:dyDescent="0.25">
      <c r="A78" s="28" t="s">
        <v>287</v>
      </c>
      <c r="B78" s="11">
        <v>21871</v>
      </c>
      <c r="C78" s="11">
        <v>50443</v>
      </c>
      <c r="D78" s="11"/>
      <c r="E78" s="11"/>
      <c r="F78" s="11"/>
      <c r="G78" s="11"/>
      <c r="H78" s="11"/>
      <c r="I78" s="11"/>
      <c r="J78" s="11">
        <v>818</v>
      </c>
      <c r="K78" s="11">
        <v>3402</v>
      </c>
      <c r="L78" s="11">
        <v>39833</v>
      </c>
      <c r="M78" s="11">
        <v>45151</v>
      </c>
      <c r="N78" s="11">
        <v>759</v>
      </c>
      <c r="O78" s="11">
        <v>-1501</v>
      </c>
      <c r="P78" s="11"/>
      <c r="Q78" s="11"/>
      <c r="R78" s="11"/>
      <c r="S78" s="11"/>
      <c r="T78" s="11"/>
      <c r="U78" s="11"/>
      <c r="V78" s="11"/>
      <c r="W78" s="11"/>
      <c r="X78" s="11">
        <v>3678</v>
      </c>
      <c r="Y78" s="11">
        <v>8384</v>
      </c>
      <c r="Z78" s="11"/>
      <c r="AA78" s="11"/>
      <c r="AB78" s="11">
        <v>359</v>
      </c>
      <c r="AC78" s="11">
        <v>1392</v>
      </c>
      <c r="AD78" s="11">
        <v>27720</v>
      </c>
      <c r="AE78" s="11">
        <v>83629</v>
      </c>
      <c r="AF78" s="11">
        <v>16217</v>
      </c>
      <c r="AG78" s="11">
        <v>56528</v>
      </c>
      <c r="AH78" s="11"/>
      <c r="AI78" s="11"/>
      <c r="AJ78" s="11">
        <v>9443</v>
      </c>
      <c r="AK78" s="11">
        <v>10986</v>
      </c>
      <c r="AL78" s="11">
        <v>29</v>
      </c>
      <c r="AM78" s="11">
        <v>57</v>
      </c>
      <c r="AN78" s="11"/>
      <c r="AO78" s="11"/>
      <c r="AP78" s="11">
        <v>25644.690182327322</v>
      </c>
      <c r="AQ78" s="11">
        <v>34109.395182327367</v>
      </c>
      <c r="AR78" s="11">
        <v>791648</v>
      </c>
      <c r="AS78" s="11">
        <v>1218305</v>
      </c>
      <c r="AT78" s="11">
        <v>21670</v>
      </c>
      <c r="AU78" s="11">
        <v>46275</v>
      </c>
      <c r="AV78" s="11">
        <v>1479</v>
      </c>
      <c r="AW78" s="11">
        <v>5458</v>
      </c>
      <c r="AX78" s="11">
        <v>12799</v>
      </c>
      <c r="AY78" s="11">
        <v>23384</v>
      </c>
      <c r="AZ78" s="11"/>
      <c r="BA78" s="11"/>
      <c r="BB78" s="11"/>
      <c r="BC78" s="11"/>
      <c r="BD78" s="11">
        <v>2235</v>
      </c>
      <c r="BE78" s="11">
        <v>4300</v>
      </c>
      <c r="BF78" s="11">
        <v>4898</v>
      </c>
      <c r="BG78" s="11">
        <v>8747</v>
      </c>
      <c r="BH78" s="11">
        <v>29</v>
      </c>
      <c r="BI78" s="11">
        <v>1</v>
      </c>
      <c r="BJ78" s="11"/>
      <c r="BK78" s="11"/>
      <c r="BL78" s="11">
        <v>291950</v>
      </c>
      <c r="BM78" s="11">
        <v>484079</v>
      </c>
      <c r="BN78" s="11">
        <v>127622</v>
      </c>
      <c r="BO78" s="11">
        <v>143435</v>
      </c>
      <c r="BP78" s="11">
        <v>194</v>
      </c>
      <c r="BQ78" s="11">
        <v>284</v>
      </c>
      <c r="BR78" s="99">
        <f>SUM(B78+D78+F78+H78+J78+L78+N78+P78+R78+T78+V78+X78+Z78+AB78+AD78+AF78+AH78+AJ78+AL78+AN78+AP78+AR78+AT78+AV78+AX78+AZ78+BB78+BD78+BF78+BH78+BJ78+BL78+BN78+BP78)</f>
        <v>1400895.6901823273</v>
      </c>
      <c r="BS78" s="99">
        <f>SUM(C78+E78+G78+I78+K78+M78+O78+Q78+S78+U78+W78+Y78+AA78+AC78+AE78+AG78+AI78+AK78+AM78+AO78+AQ78+AS78+AU78+AW78+AY78+BA78+BC78+BE78+BG78+BI78+BK78+BM78+BO78+BQ78)</f>
        <v>2226848.3951823274</v>
      </c>
    </row>
    <row r="79" spans="1:71" x14ac:dyDescent="0.25">
      <c r="A79" s="36"/>
    </row>
    <row r="80" spans="1:71" x14ac:dyDescent="0.25">
      <c r="A80" s="37" t="s">
        <v>237</v>
      </c>
    </row>
    <row r="81" spans="1:71" x14ac:dyDescent="0.25">
      <c r="A81" s="4" t="s">
        <v>0</v>
      </c>
      <c r="B81" s="105" t="s">
        <v>1</v>
      </c>
      <c r="C81" s="106"/>
      <c r="D81" s="105" t="s">
        <v>2</v>
      </c>
      <c r="E81" s="106"/>
      <c r="F81" s="105" t="s">
        <v>3</v>
      </c>
      <c r="G81" s="106"/>
      <c r="H81" s="105" t="s">
        <v>4</v>
      </c>
      <c r="I81" s="106"/>
      <c r="J81" s="105" t="s">
        <v>5</v>
      </c>
      <c r="K81" s="106"/>
      <c r="L81" s="105" t="s">
        <v>6</v>
      </c>
      <c r="M81" s="106"/>
      <c r="N81" s="105" t="s">
        <v>7</v>
      </c>
      <c r="O81" s="106"/>
      <c r="P81" s="105" t="s">
        <v>8</v>
      </c>
      <c r="Q81" s="106"/>
      <c r="R81" s="105" t="s">
        <v>9</v>
      </c>
      <c r="S81" s="106"/>
      <c r="T81" s="105" t="s">
        <v>10</v>
      </c>
      <c r="U81" s="106"/>
      <c r="V81" s="105" t="s">
        <v>11</v>
      </c>
      <c r="W81" s="106"/>
      <c r="X81" s="105" t="s">
        <v>12</v>
      </c>
      <c r="Y81" s="106"/>
      <c r="Z81" s="105" t="s">
        <v>13</v>
      </c>
      <c r="AA81" s="106"/>
      <c r="AB81" s="105" t="s">
        <v>14</v>
      </c>
      <c r="AC81" s="106"/>
      <c r="AD81" s="105" t="s">
        <v>15</v>
      </c>
      <c r="AE81" s="106"/>
      <c r="AF81" s="105" t="s">
        <v>16</v>
      </c>
      <c r="AG81" s="106"/>
      <c r="AH81" s="105" t="s">
        <v>17</v>
      </c>
      <c r="AI81" s="106"/>
      <c r="AJ81" s="105" t="s">
        <v>18</v>
      </c>
      <c r="AK81" s="106"/>
      <c r="AL81" s="105" t="s">
        <v>19</v>
      </c>
      <c r="AM81" s="106"/>
      <c r="AN81" s="105" t="s">
        <v>20</v>
      </c>
      <c r="AO81" s="106"/>
      <c r="AP81" s="105" t="s">
        <v>21</v>
      </c>
      <c r="AQ81" s="106"/>
      <c r="AR81" s="105" t="s">
        <v>22</v>
      </c>
      <c r="AS81" s="106"/>
      <c r="AT81" s="105" t="s">
        <v>23</v>
      </c>
      <c r="AU81" s="106"/>
      <c r="AV81" s="105" t="s">
        <v>24</v>
      </c>
      <c r="AW81" s="106"/>
      <c r="AX81" s="105" t="s">
        <v>25</v>
      </c>
      <c r="AY81" s="106"/>
      <c r="AZ81" s="105" t="s">
        <v>26</v>
      </c>
      <c r="BA81" s="106"/>
      <c r="BB81" s="105" t="s">
        <v>27</v>
      </c>
      <c r="BC81" s="106"/>
      <c r="BD81" s="105" t="s">
        <v>28</v>
      </c>
      <c r="BE81" s="106"/>
      <c r="BF81" s="105" t="s">
        <v>29</v>
      </c>
      <c r="BG81" s="106"/>
      <c r="BH81" s="105" t="s">
        <v>30</v>
      </c>
      <c r="BI81" s="106"/>
      <c r="BJ81" s="105" t="s">
        <v>31</v>
      </c>
      <c r="BK81" s="106"/>
      <c r="BL81" s="105" t="s">
        <v>32</v>
      </c>
      <c r="BM81" s="106"/>
      <c r="BN81" s="109" t="s">
        <v>33</v>
      </c>
      <c r="BO81" s="110"/>
      <c r="BP81" s="105" t="s">
        <v>34</v>
      </c>
      <c r="BQ81" s="106"/>
      <c r="BR81" s="107" t="s">
        <v>35</v>
      </c>
      <c r="BS81" s="108"/>
    </row>
    <row r="82" spans="1:71" ht="30" x14ac:dyDescent="0.25">
      <c r="A82" s="4"/>
      <c r="B82" s="76" t="s">
        <v>295</v>
      </c>
      <c r="C82" s="77" t="s">
        <v>296</v>
      </c>
      <c r="D82" s="76" t="s">
        <v>295</v>
      </c>
      <c r="E82" s="77" t="s">
        <v>296</v>
      </c>
      <c r="F82" s="76" t="s">
        <v>295</v>
      </c>
      <c r="G82" s="77" t="s">
        <v>296</v>
      </c>
      <c r="H82" s="76" t="s">
        <v>295</v>
      </c>
      <c r="I82" s="77" t="s">
        <v>296</v>
      </c>
      <c r="J82" s="76" t="s">
        <v>295</v>
      </c>
      <c r="K82" s="77" t="s">
        <v>296</v>
      </c>
      <c r="L82" s="76" t="s">
        <v>295</v>
      </c>
      <c r="M82" s="77" t="s">
        <v>296</v>
      </c>
      <c r="N82" s="76" t="s">
        <v>295</v>
      </c>
      <c r="O82" s="77" t="s">
        <v>296</v>
      </c>
      <c r="P82" s="76" t="s">
        <v>295</v>
      </c>
      <c r="Q82" s="77" t="s">
        <v>296</v>
      </c>
      <c r="R82" s="76" t="s">
        <v>295</v>
      </c>
      <c r="S82" s="77" t="s">
        <v>296</v>
      </c>
      <c r="T82" s="76" t="s">
        <v>295</v>
      </c>
      <c r="U82" s="77" t="s">
        <v>296</v>
      </c>
      <c r="V82" s="76" t="s">
        <v>295</v>
      </c>
      <c r="W82" s="77" t="s">
        <v>296</v>
      </c>
      <c r="X82" s="76" t="s">
        <v>295</v>
      </c>
      <c r="Y82" s="77" t="s">
        <v>296</v>
      </c>
      <c r="Z82" s="76" t="s">
        <v>295</v>
      </c>
      <c r="AA82" s="77" t="s">
        <v>296</v>
      </c>
      <c r="AB82" s="76" t="s">
        <v>295</v>
      </c>
      <c r="AC82" s="77" t="s">
        <v>296</v>
      </c>
      <c r="AD82" s="76" t="s">
        <v>295</v>
      </c>
      <c r="AE82" s="77" t="s">
        <v>296</v>
      </c>
      <c r="AF82" s="76" t="s">
        <v>295</v>
      </c>
      <c r="AG82" s="77" t="s">
        <v>296</v>
      </c>
      <c r="AH82" s="76" t="s">
        <v>295</v>
      </c>
      <c r="AI82" s="77" t="s">
        <v>296</v>
      </c>
      <c r="AJ82" s="76" t="s">
        <v>295</v>
      </c>
      <c r="AK82" s="77" t="s">
        <v>296</v>
      </c>
      <c r="AL82" s="76" t="s">
        <v>295</v>
      </c>
      <c r="AM82" s="77" t="s">
        <v>296</v>
      </c>
      <c r="AN82" s="76" t="s">
        <v>295</v>
      </c>
      <c r="AO82" s="77" t="s">
        <v>296</v>
      </c>
      <c r="AP82" s="76" t="s">
        <v>295</v>
      </c>
      <c r="AQ82" s="77" t="s">
        <v>296</v>
      </c>
      <c r="AR82" s="76" t="s">
        <v>295</v>
      </c>
      <c r="AS82" s="77" t="s">
        <v>296</v>
      </c>
      <c r="AT82" s="76" t="s">
        <v>295</v>
      </c>
      <c r="AU82" s="77" t="s">
        <v>296</v>
      </c>
      <c r="AV82" s="76" t="s">
        <v>295</v>
      </c>
      <c r="AW82" s="77" t="s">
        <v>296</v>
      </c>
      <c r="AX82" s="76" t="s">
        <v>295</v>
      </c>
      <c r="AY82" s="77" t="s">
        <v>296</v>
      </c>
      <c r="AZ82" s="76" t="s">
        <v>295</v>
      </c>
      <c r="BA82" s="77" t="s">
        <v>296</v>
      </c>
      <c r="BB82" s="76" t="s">
        <v>295</v>
      </c>
      <c r="BC82" s="77" t="s">
        <v>296</v>
      </c>
      <c r="BD82" s="76" t="s">
        <v>295</v>
      </c>
      <c r="BE82" s="77" t="s">
        <v>296</v>
      </c>
      <c r="BF82" s="76" t="s">
        <v>295</v>
      </c>
      <c r="BG82" s="77" t="s">
        <v>296</v>
      </c>
      <c r="BH82" s="76" t="s">
        <v>295</v>
      </c>
      <c r="BI82" s="77" t="s">
        <v>296</v>
      </c>
      <c r="BJ82" s="76" t="s">
        <v>295</v>
      </c>
      <c r="BK82" s="77" t="s">
        <v>296</v>
      </c>
      <c r="BL82" s="76" t="s">
        <v>295</v>
      </c>
      <c r="BM82" s="77" t="s">
        <v>296</v>
      </c>
      <c r="BN82" s="76" t="s">
        <v>295</v>
      </c>
      <c r="BO82" s="77" t="s">
        <v>296</v>
      </c>
      <c r="BP82" s="76" t="s">
        <v>295</v>
      </c>
      <c r="BQ82" s="77" t="s">
        <v>296</v>
      </c>
      <c r="BR82" s="95" t="s">
        <v>295</v>
      </c>
      <c r="BS82" s="96" t="s">
        <v>296</v>
      </c>
    </row>
    <row r="83" spans="1:71" x14ac:dyDescent="0.25">
      <c r="A83" s="28" t="s">
        <v>242</v>
      </c>
      <c r="B83" s="11"/>
      <c r="C83" s="11"/>
      <c r="D83" s="11"/>
      <c r="E83" s="11"/>
      <c r="F83" s="11"/>
      <c r="G83" s="11"/>
      <c r="H83" s="11"/>
      <c r="I83" s="11"/>
      <c r="J83" s="11">
        <v>39418</v>
      </c>
      <c r="K83" s="11">
        <v>56187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>
        <v>55211</v>
      </c>
      <c r="AC83" s="11">
        <v>111460</v>
      </c>
      <c r="AD83" s="11">
        <v>33865</v>
      </c>
      <c r="AE83" s="11">
        <v>71781</v>
      </c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>
        <v>129040.55</v>
      </c>
      <c r="AQ83" s="11">
        <v>216507.046</v>
      </c>
      <c r="AR83" s="11">
        <v>179789</v>
      </c>
      <c r="AS83" s="11">
        <v>354939</v>
      </c>
      <c r="AT83" s="11">
        <v>99490</v>
      </c>
      <c r="AU83" s="11">
        <v>129686</v>
      </c>
      <c r="AV83" s="11"/>
      <c r="AW83" s="11"/>
      <c r="AX83" s="11">
        <v>4</v>
      </c>
      <c r="AY83" s="11">
        <v>4</v>
      </c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>
        <v>233224</v>
      </c>
      <c r="BO83" s="11">
        <v>236731</v>
      </c>
      <c r="BP83" s="11"/>
      <c r="BQ83" s="11"/>
      <c r="BR83" s="99">
        <f>SUM(B83+D83+F83+H83+J83+L83+N83+P83+R83+T83+V83+X83+Z83+AB83+AD83+AF83+AH83+AJ83+AL83+AN83+AP83+AR83+AT83+AV83+AX83+AZ83+BB83+BD83+BF83+BH83+BJ83+BL83+BN83+BP83)</f>
        <v>770041.55</v>
      </c>
      <c r="BS83" s="99">
        <f>SUM(C83+E83+G83+I83+K83+M83+O83+Q83+S83+U83+W83+Y83+AA83+AC83+AE83+AG83+AI83+AK83+AM83+AO83+AQ83+AS83+AU83+AW83+AY83+BA83+BC83+BE83+BG83+BI83+BK83+BM83+BO83+BQ83)</f>
        <v>1177295.0460000001</v>
      </c>
    </row>
    <row r="84" spans="1:71" x14ac:dyDescent="0.25">
      <c r="A84" s="28" t="s">
        <v>290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>
        <v>370.85599999999977</v>
      </c>
      <c r="AQ84" s="11">
        <v>36266.712</v>
      </c>
      <c r="AR84" s="11"/>
      <c r="AS84" s="11"/>
      <c r="AT84" s="11">
        <v>222398</v>
      </c>
      <c r="AU84" s="11">
        <v>702749</v>
      </c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>
        <v>7394</v>
      </c>
      <c r="BO84" s="11">
        <v>293308</v>
      </c>
      <c r="BP84" s="11"/>
      <c r="BQ84" s="11"/>
      <c r="BR84" s="99">
        <f t="shared" ref="BR84:BR88" si="14">SUM(B84+D84+F84+H84+J84+L84+N84+P84+R84+T84+V84+X84+Z84+AB84+AD84+AF84+AH84+AJ84+AL84+AN84+AP84+AR84+AT84+AV84+AX84+AZ84+BB84+BD84+BF84+BH84+BJ84+BL84+BN84+BP84)</f>
        <v>230162.856</v>
      </c>
      <c r="BS84" s="99">
        <f t="shared" ref="BS84:BS88" si="15">SUM(C84+E84+G84+I84+K84+M84+O84+Q84+S84+U84+W84+Y84+AA84+AC84+AE84+AG84+AI84+AK84+AM84+AO84+AQ84+AS84+AU84+AW84+AY84+BA84+BC84+BE84+BG84+BI84+BK84+BM84+BO84+BQ84)</f>
        <v>1032323.7120000001</v>
      </c>
    </row>
    <row r="85" spans="1:71" x14ac:dyDescent="0.25">
      <c r="A85" s="28" t="s">
        <v>291</v>
      </c>
      <c r="B85" s="11"/>
      <c r="C85" s="11"/>
      <c r="D85" s="11"/>
      <c r="E85" s="11"/>
      <c r="F85" s="11"/>
      <c r="G85" s="11"/>
      <c r="H85" s="11"/>
      <c r="I85" s="11"/>
      <c r="J85" s="11">
        <v>24824</v>
      </c>
      <c r="K85" s="11">
        <v>33509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>
        <v>114339.88399999999</v>
      </c>
      <c r="AQ85" s="11">
        <v>192428.66699999999</v>
      </c>
      <c r="AR85" s="11"/>
      <c r="AS85" s="11"/>
      <c r="AT85" s="11">
        <v>64626</v>
      </c>
      <c r="AU85" s="11">
        <v>467350</v>
      </c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>
        <v>200022</v>
      </c>
      <c r="BO85" s="11">
        <v>228561</v>
      </c>
      <c r="BP85" s="11"/>
      <c r="BQ85" s="11"/>
      <c r="BR85" s="99">
        <f t="shared" si="14"/>
        <v>403811.88399999996</v>
      </c>
      <c r="BS85" s="99">
        <f t="shared" si="15"/>
        <v>921848.66700000002</v>
      </c>
    </row>
    <row r="86" spans="1:71" x14ac:dyDescent="0.25">
      <c r="A86" s="28" t="s">
        <v>294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>
        <v>15071.522000000012</v>
      </c>
      <c r="AQ86" s="11">
        <v>60345.091000000015</v>
      </c>
      <c r="AR86" s="11"/>
      <c r="AS86" s="11"/>
      <c r="AT86" s="11"/>
      <c r="AU86" s="11"/>
      <c r="AV86" s="11"/>
      <c r="AW86" s="11"/>
      <c r="AX86" s="11">
        <v>4</v>
      </c>
      <c r="AY86" s="11">
        <v>4</v>
      </c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99">
        <f t="shared" si="14"/>
        <v>15075.522000000012</v>
      </c>
      <c r="BS86" s="99">
        <f t="shared" si="15"/>
        <v>60349.091000000015</v>
      </c>
    </row>
    <row r="87" spans="1:71" x14ac:dyDescent="0.25">
      <c r="A87" s="28" t="s">
        <v>293</v>
      </c>
      <c r="B87" s="11"/>
      <c r="C87" s="11"/>
      <c r="D87" s="11"/>
      <c r="E87" s="11"/>
      <c r="F87" s="11"/>
      <c r="G87" s="11"/>
      <c r="H87" s="11"/>
      <c r="I87" s="11"/>
      <c r="J87" s="11">
        <v>18655</v>
      </c>
      <c r="K87" s="11">
        <v>56584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>
        <v>1736</v>
      </c>
      <c r="Y87" s="11">
        <v>1736</v>
      </c>
      <c r="Z87" s="11"/>
      <c r="AA87" s="11"/>
      <c r="AB87" s="11"/>
      <c r="AC87" s="11"/>
      <c r="AD87" s="11"/>
      <c r="AE87" s="11"/>
      <c r="AF87" s="11"/>
      <c r="AG87" s="11">
        <v>1861</v>
      </c>
      <c r="AH87" s="11"/>
      <c r="AI87" s="11"/>
      <c r="AJ87" s="11"/>
      <c r="AK87" s="11"/>
      <c r="AL87" s="11"/>
      <c r="AM87" s="11"/>
      <c r="AN87" s="11"/>
      <c r="AO87" s="11"/>
      <c r="AP87" s="11">
        <v>85371.51710910257</v>
      </c>
      <c r="AQ87" s="11">
        <v>673496.04910910269</v>
      </c>
      <c r="AR87" s="11"/>
      <c r="AS87" s="11"/>
      <c r="AT87" s="11">
        <v>-100114</v>
      </c>
      <c r="AU87" s="11">
        <v>1145605</v>
      </c>
      <c r="AV87" s="11"/>
      <c r="AW87" s="11"/>
      <c r="AX87" s="11">
        <v>4271</v>
      </c>
      <c r="AY87" s="11">
        <v>4271</v>
      </c>
      <c r="AZ87" s="11"/>
      <c r="BA87" s="11"/>
      <c r="BB87" s="11"/>
      <c r="BC87" s="11"/>
      <c r="BD87" s="11"/>
      <c r="BE87" s="11"/>
      <c r="BF87" s="11">
        <v>155</v>
      </c>
      <c r="BG87" s="11">
        <v>155</v>
      </c>
      <c r="BH87" s="11"/>
      <c r="BI87" s="11"/>
      <c r="BJ87" s="11"/>
      <c r="BK87" s="11"/>
      <c r="BL87" s="11">
        <v>-124</v>
      </c>
      <c r="BM87" s="11">
        <v>1974</v>
      </c>
      <c r="BN87" s="11">
        <v>209735</v>
      </c>
      <c r="BO87" s="11">
        <v>209735</v>
      </c>
      <c r="BP87" s="11"/>
      <c r="BQ87" s="11"/>
      <c r="BR87" s="99">
        <f t="shared" si="14"/>
        <v>219685.51710910257</v>
      </c>
      <c r="BS87" s="99">
        <f t="shared" si="15"/>
        <v>2095417.0491091027</v>
      </c>
    </row>
    <row r="88" spans="1:71" x14ac:dyDescent="0.25">
      <c r="A88" s="28" t="s">
        <v>292</v>
      </c>
      <c r="B88" s="11"/>
      <c r="C88" s="11"/>
      <c r="D88" s="11"/>
      <c r="E88" s="11"/>
      <c r="F88" s="11"/>
      <c r="G88" s="11"/>
      <c r="H88" s="11"/>
      <c r="I88" s="11"/>
      <c r="J88" s="11"/>
      <c r="K88" s="11">
        <v>29543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>
        <v>1736</v>
      </c>
      <c r="Y88" s="11">
        <v>1736</v>
      </c>
      <c r="Z88" s="11"/>
      <c r="AA88" s="11"/>
      <c r="AB88" s="11"/>
      <c r="AC88" s="11"/>
      <c r="AD88" s="11"/>
      <c r="AE88" s="11"/>
      <c r="AF88" s="11"/>
      <c r="AG88" s="11">
        <v>1958</v>
      </c>
      <c r="AH88" s="11"/>
      <c r="AI88" s="11"/>
      <c r="AJ88" s="11"/>
      <c r="AK88" s="11"/>
      <c r="AL88" s="11"/>
      <c r="AM88" s="11"/>
      <c r="AN88" s="11"/>
      <c r="AO88" s="11"/>
      <c r="AP88" s="11">
        <v>0</v>
      </c>
      <c r="AQ88" s="11">
        <v>535116.88400000008</v>
      </c>
      <c r="AR88" s="11"/>
      <c r="AS88" s="11"/>
      <c r="AT88" s="11"/>
      <c r="AU88" s="11">
        <v>1263245</v>
      </c>
      <c r="AV88" s="11"/>
      <c r="AW88" s="11"/>
      <c r="AX88" s="11">
        <v>4538</v>
      </c>
      <c r="AY88" s="11">
        <v>4326</v>
      </c>
      <c r="AZ88" s="11"/>
      <c r="BA88" s="11"/>
      <c r="BB88" s="11"/>
      <c r="BC88" s="11"/>
      <c r="BD88" s="11"/>
      <c r="BE88" s="11"/>
      <c r="BF88" s="11">
        <v>154</v>
      </c>
      <c r="BG88" s="11">
        <v>154</v>
      </c>
      <c r="BH88" s="11"/>
      <c r="BI88" s="11"/>
      <c r="BJ88" s="11"/>
      <c r="BK88" s="11"/>
      <c r="BL88" s="11"/>
      <c r="BM88" s="11">
        <v>2918</v>
      </c>
      <c r="BN88" s="11">
        <v>263007</v>
      </c>
      <c r="BO88" s="11">
        <v>255886</v>
      </c>
      <c r="BP88" s="11"/>
      <c r="BQ88" s="11"/>
      <c r="BR88" s="99">
        <f t="shared" si="14"/>
        <v>269435</v>
      </c>
      <c r="BS88" s="99">
        <f t="shared" si="15"/>
        <v>2094882.8840000001</v>
      </c>
    </row>
    <row r="89" spans="1:71" x14ac:dyDescent="0.25">
      <c r="A89" s="28" t="s">
        <v>287</v>
      </c>
      <c r="B89" s="11"/>
      <c r="C89" s="11"/>
      <c r="D89" s="11"/>
      <c r="E89" s="11"/>
      <c r="F89" s="11"/>
      <c r="G89" s="11"/>
      <c r="H89" s="11"/>
      <c r="I89" s="11"/>
      <c r="J89" s="11">
        <v>33249</v>
      </c>
      <c r="K89" s="11">
        <v>49719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>
        <v>14006</v>
      </c>
      <c r="AC89" s="11">
        <v>-39007</v>
      </c>
      <c r="AD89" s="11">
        <v>9566</v>
      </c>
      <c r="AE89" s="11">
        <v>11398</v>
      </c>
      <c r="AF89" s="11"/>
      <c r="AG89" s="11">
        <v>-97</v>
      </c>
      <c r="AH89" s="11"/>
      <c r="AI89" s="11"/>
      <c r="AJ89" s="11"/>
      <c r="AK89" s="11"/>
      <c r="AL89" s="11"/>
      <c r="AM89" s="11"/>
      <c r="AN89" s="11"/>
      <c r="AO89" s="11"/>
      <c r="AP89" s="11">
        <v>100443.03910910258</v>
      </c>
      <c r="AQ89" s="11">
        <v>198724.25610910263</v>
      </c>
      <c r="AR89" s="11">
        <v>-120231</v>
      </c>
      <c r="AS89" s="11">
        <v>460855</v>
      </c>
      <c r="AT89" s="11">
        <v>157148</v>
      </c>
      <c r="AU89" s="11">
        <v>247445</v>
      </c>
      <c r="AV89" s="11"/>
      <c r="AW89" s="11"/>
      <c r="AX89" s="11">
        <v>-263</v>
      </c>
      <c r="AY89" s="11">
        <v>-51</v>
      </c>
      <c r="AZ89" s="11"/>
      <c r="BA89" s="11"/>
      <c r="BB89" s="11"/>
      <c r="BC89" s="11"/>
      <c r="BD89" s="11"/>
      <c r="BE89" s="11"/>
      <c r="BF89" s="11">
        <v>1</v>
      </c>
      <c r="BG89" s="11">
        <v>1</v>
      </c>
      <c r="BH89" s="11"/>
      <c r="BI89" s="11"/>
      <c r="BJ89" s="11"/>
      <c r="BK89" s="11"/>
      <c r="BL89" s="11">
        <v>-124</v>
      </c>
      <c r="BM89" s="11">
        <v>-944</v>
      </c>
      <c r="BN89" s="11">
        <v>-12676</v>
      </c>
      <c r="BO89" s="11">
        <v>255327</v>
      </c>
      <c r="BP89" s="11"/>
      <c r="BQ89" s="11"/>
      <c r="BR89" s="99">
        <f>SUM(B89+D89+F89+H89+J89+L89+N89+P89+R89+T89+V89+X89+Z89+AB89+AD89+AF89+AH89+AJ89+AL89+AN89+AP89+AR89+AT89+AV89+AX89+AZ89+BB89+BD89+BF89+BH89+BJ89+BL89+BN89+BP89)</f>
        <v>181119.03910910257</v>
      </c>
      <c r="BS89" s="99">
        <f>SUM(C89+E89+G89+I89+K89+M89+O89+Q89+S89+U89+W89+Y89+AA89+AC89+AE89+AG89+AI89+AK89+AM89+AO89+AQ89+AS89+AU89+AW89+AY89+BA89+BC89+BE89+BG89+BI89+BK89+BM89+BO89+BQ89)</f>
        <v>1183370.2561091026</v>
      </c>
    </row>
    <row r="90" spans="1:71" x14ac:dyDescent="0.25">
      <c r="A90" s="19"/>
    </row>
    <row r="91" spans="1:71" x14ac:dyDescent="0.25">
      <c r="A91" s="35" t="s">
        <v>238</v>
      </c>
    </row>
    <row r="92" spans="1:71" x14ac:dyDescent="0.25">
      <c r="A92" s="4" t="s">
        <v>0</v>
      </c>
      <c r="B92" s="105" t="s">
        <v>1</v>
      </c>
      <c r="C92" s="106"/>
      <c r="D92" s="105" t="s">
        <v>2</v>
      </c>
      <c r="E92" s="106"/>
      <c r="F92" s="105" t="s">
        <v>3</v>
      </c>
      <c r="G92" s="106"/>
      <c r="H92" s="105" t="s">
        <v>4</v>
      </c>
      <c r="I92" s="106"/>
      <c r="J92" s="105" t="s">
        <v>5</v>
      </c>
      <c r="K92" s="106"/>
      <c r="L92" s="105" t="s">
        <v>6</v>
      </c>
      <c r="M92" s="106"/>
      <c r="N92" s="105" t="s">
        <v>7</v>
      </c>
      <c r="O92" s="106"/>
      <c r="P92" s="105" t="s">
        <v>8</v>
      </c>
      <c r="Q92" s="106"/>
      <c r="R92" s="105" t="s">
        <v>9</v>
      </c>
      <c r="S92" s="106"/>
      <c r="T92" s="105" t="s">
        <v>10</v>
      </c>
      <c r="U92" s="106"/>
      <c r="V92" s="105" t="s">
        <v>11</v>
      </c>
      <c r="W92" s="106"/>
      <c r="X92" s="105" t="s">
        <v>12</v>
      </c>
      <c r="Y92" s="106"/>
      <c r="Z92" s="105" t="s">
        <v>13</v>
      </c>
      <c r="AA92" s="106"/>
      <c r="AB92" s="105" t="s">
        <v>14</v>
      </c>
      <c r="AC92" s="106"/>
      <c r="AD92" s="105" t="s">
        <v>15</v>
      </c>
      <c r="AE92" s="106"/>
      <c r="AF92" s="105" t="s">
        <v>16</v>
      </c>
      <c r="AG92" s="106"/>
      <c r="AH92" s="105" t="s">
        <v>17</v>
      </c>
      <c r="AI92" s="106"/>
      <c r="AJ92" s="105" t="s">
        <v>18</v>
      </c>
      <c r="AK92" s="106"/>
      <c r="AL92" s="105" t="s">
        <v>19</v>
      </c>
      <c r="AM92" s="106"/>
      <c r="AN92" s="105" t="s">
        <v>20</v>
      </c>
      <c r="AO92" s="106"/>
      <c r="AP92" s="105" t="s">
        <v>21</v>
      </c>
      <c r="AQ92" s="106"/>
      <c r="AR92" s="105" t="s">
        <v>22</v>
      </c>
      <c r="AS92" s="106"/>
      <c r="AT92" s="105" t="s">
        <v>23</v>
      </c>
      <c r="AU92" s="106"/>
      <c r="AV92" s="105" t="s">
        <v>24</v>
      </c>
      <c r="AW92" s="106"/>
      <c r="AX92" s="105" t="s">
        <v>25</v>
      </c>
      <c r="AY92" s="106"/>
      <c r="AZ92" s="105" t="s">
        <v>26</v>
      </c>
      <c r="BA92" s="106"/>
      <c r="BB92" s="105" t="s">
        <v>27</v>
      </c>
      <c r="BC92" s="106"/>
      <c r="BD92" s="105" t="s">
        <v>28</v>
      </c>
      <c r="BE92" s="106"/>
      <c r="BF92" s="105" t="s">
        <v>29</v>
      </c>
      <c r="BG92" s="106"/>
      <c r="BH92" s="105" t="s">
        <v>30</v>
      </c>
      <c r="BI92" s="106"/>
      <c r="BJ92" s="105" t="s">
        <v>31</v>
      </c>
      <c r="BK92" s="106"/>
      <c r="BL92" s="105" t="s">
        <v>32</v>
      </c>
      <c r="BM92" s="106"/>
      <c r="BN92" s="109" t="s">
        <v>33</v>
      </c>
      <c r="BO92" s="110"/>
      <c r="BP92" s="105" t="s">
        <v>34</v>
      </c>
      <c r="BQ92" s="106"/>
      <c r="BR92" s="107" t="s">
        <v>35</v>
      </c>
      <c r="BS92" s="108"/>
    </row>
    <row r="93" spans="1:71" ht="30" x14ac:dyDescent="0.25">
      <c r="A93" s="4"/>
      <c r="B93" s="76" t="s">
        <v>295</v>
      </c>
      <c r="C93" s="77" t="s">
        <v>296</v>
      </c>
      <c r="D93" s="76" t="s">
        <v>295</v>
      </c>
      <c r="E93" s="77" t="s">
        <v>296</v>
      </c>
      <c r="F93" s="76" t="s">
        <v>295</v>
      </c>
      <c r="G93" s="77" t="s">
        <v>296</v>
      </c>
      <c r="H93" s="76" t="s">
        <v>295</v>
      </c>
      <c r="I93" s="77" t="s">
        <v>296</v>
      </c>
      <c r="J93" s="76" t="s">
        <v>295</v>
      </c>
      <c r="K93" s="77" t="s">
        <v>296</v>
      </c>
      <c r="L93" s="76" t="s">
        <v>295</v>
      </c>
      <c r="M93" s="77" t="s">
        <v>296</v>
      </c>
      <c r="N93" s="76" t="s">
        <v>295</v>
      </c>
      <c r="O93" s="77" t="s">
        <v>296</v>
      </c>
      <c r="P93" s="76" t="s">
        <v>295</v>
      </c>
      <c r="Q93" s="77" t="s">
        <v>296</v>
      </c>
      <c r="R93" s="76" t="s">
        <v>295</v>
      </c>
      <c r="S93" s="77" t="s">
        <v>296</v>
      </c>
      <c r="T93" s="76" t="s">
        <v>295</v>
      </c>
      <c r="U93" s="77" t="s">
        <v>296</v>
      </c>
      <c r="V93" s="76" t="s">
        <v>295</v>
      </c>
      <c r="W93" s="77" t="s">
        <v>296</v>
      </c>
      <c r="X93" s="76" t="s">
        <v>295</v>
      </c>
      <c r="Y93" s="77" t="s">
        <v>296</v>
      </c>
      <c r="Z93" s="76" t="s">
        <v>295</v>
      </c>
      <c r="AA93" s="77" t="s">
        <v>296</v>
      </c>
      <c r="AB93" s="76" t="s">
        <v>295</v>
      </c>
      <c r="AC93" s="77" t="s">
        <v>296</v>
      </c>
      <c r="AD93" s="76" t="s">
        <v>295</v>
      </c>
      <c r="AE93" s="77" t="s">
        <v>296</v>
      </c>
      <c r="AF93" s="76" t="s">
        <v>295</v>
      </c>
      <c r="AG93" s="77" t="s">
        <v>296</v>
      </c>
      <c r="AH93" s="76" t="s">
        <v>295</v>
      </c>
      <c r="AI93" s="77" t="s">
        <v>296</v>
      </c>
      <c r="AJ93" s="76" t="s">
        <v>295</v>
      </c>
      <c r="AK93" s="77" t="s">
        <v>296</v>
      </c>
      <c r="AL93" s="76" t="s">
        <v>295</v>
      </c>
      <c r="AM93" s="77" t="s">
        <v>296</v>
      </c>
      <c r="AN93" s="76" t="s">
        <v>295</v>
      </c>
      <c r="AO93" s="77" t="s">
        <v>296</v>
      </c>
      <c r="AP93" s="76" t="s">
        <v>295</v>
      </c>
      <c r="AQ93" s="77" t="s">
        <v>296</v>
      </c>
      <c r="AR93" s="76" t="s">
        <v>295</v>
      </c>
      <c r="AS93" s="77" t="s">
        <v>296</v>
      </c>
      <c r="AT93" s="76" t="s">
        <v>295</v>
      </c>
      <c r="AU93" s="77" t="s">
        <v>296</v>
      </c>
      <c r="AV93" s="76" t="s">
        <v>295</v>
      </c>
      <c r="AW93" s="77" t="s">
        <v>296</v>
      </c>
      <c r="AX93" s="76" t="s">
        <v>295</v>
      </c>
      <c r="AY93" s="77" t="s">
        <v>296</v>
      </c>
      <c r="AZ93" s="76" t="s">
        <v>295</v>
      </c>
      <c r="BA93" s="77" t="s">
        <v>296</v>
      </c>
      <c r="BB93" s="76" t="s">
        <v>295</v>
      </c>
      <c r="BC93" s="77" t="s">
        <v>296</v>
      </c>
      <c r="BD93" s="76" t="s">
        <v>295</v>
      </c>
      <c r="BE93" s="77" t="s">
        <v>296</v>
      </c>
      <c r="BF93" s="76" t="s">
        <v>295</v>
      </c>
      <c r="BG93" s="77" t="s">
        <v>296</v>
      </c>
      <c r="BH93" s="76" t="s">
        <v>295</v>
      </c>
      <c r="BI93" s="77" t="s">
        <v>296</v>
      </c>
      <c r="BJ93" s="76" t="s">
        <v>295</v>
      </c>
      <c r="BK93" s="77" t="s">
        <v>296</v>
      </c>
      <c r="BL93" s="76" t="s">
        <v>295</v>
      </c>
      <c r="BM93" s="77" t="s">
        <v>296</v>
      </c>
      <c r="BN93" s="76" t="s">
        <v>295</v>
      </c>
      <c r="BO93" s="77" t="s">
        <v>296</v>
      </c>
      <c r="BP93" s="76" t="s">
        <v>295</v>
      </c>
      <c r="BQ93" s="77" t="s">
        <v>296</v>
      </c>
      <c r="BR93" s="95" t="s">
        <v>295</v>
      </c>
      <c r="BS93" s="96" t="s">
        <v>296</v>
      </c>
    </row>
    <row r="94" spans="1:71" x14ac:dyDescent="0.25">
      <c r="A94" s="28" t="s">
        <v>242</v>
      </c>
      <c r="B94" s="11">
        <f>B105-B83-B72-B61-B39-B28-B17-B6-B50</f>
        <v>0</v>
      </c>
      <c r="C94" s="11">
        <f t="shared" ref="C94:AI94" si="16">C105-C83-C72-C61-C39-C28-C17-C6-C50</f>
        <v>0</v>
      </c>
      <c r="D94" s="11">
        <f t="shared" si="16"/>
        <v>0</v>
      </c>
      <c r="E94" s="11">
        <f t="shared" si="16"/>
        <v>0</v>
      </c>
      <c r="F94" s="11">
        <f t="shared" si="16"/>
        <v>20907668</v>
      </c>
      <c r="G94" s="11">
        <f t="shared" si="16"/>
        <v>29804691</v>
      </c>
      <c r="H94" s="11">
        <f t="shared" si="16"/>
        <v>36888</v>
      </c>
      <c r="I94" s="11">
        <f t="shared" si="16"/>
        <v>74875</v>
      </c>
      <c r="J94" s="11">
        <f t="shared" si="16"/>
        <v>6437223</v>
      </c>
      <c r="K94" s="11">
        <f t="shared" si="16"/>
        <v>8869320</v>
      </c>
      <c r="L94" s="11">
        <f t="shared" si="16"/>
        <v>408275</v>
      </c>
      <c r="M94" s="11">
        <f t="shared" si="16"/>
        <v>1476024</v>
      </c>
      <c r="N94" s="11">
        <f t="shared" si="16"/>
        <v>1878246</v>
      </c>
      <c r="O94" s="11">
        <f t="shared" si="16"/>
        <v>3501215</v>
      </c>
      <c r="P94" s="11">
        <f t="shared" si="16"/>
        <v>0</v>
      </c>
      <c r="Q94" s="11">
        <f t="shared" si="16"/>
        <v>0</v>
      </c>
      <c r="R94" s="11">
        <f t="shared" si="16"/>
        <v>143</v>
      </c>
      <c r="S94" s="11">
        <f t="shared" si="16"/>
        <v>221</v>
      </c>
      <c r="T94" s="11">
        <f t="shared" si="16"/>
        <v>0</v>
      </c>
      <c r="U94" s="11">
        <f t="shared" si="16"/>
        <v>108</v>
      </c>
      <c r="V94" s="11">
        <f t="shared" si="16"/>
        <v>1050206.3799999999</v>
      </c>
      <c r="W94" s="11">
        <f t="shared" si="16"/>
        <v>1407396.77</v>
      </c>
      <c r="X94" s="11">
        <f t="shared" si="16"/>
        <v>835640</v>
      </c>
      <c r="Y94" s="11">
        <f t="shared" si="16"/>
        <v>1194035</v>
      </c>
      <c r="Z94" s="11">
        <f t="shared" si="16"/>
        <v>13393</v>
      </c>
      <c r="AA94" s="11">
        <f t="shared" si="16"/>
        <v>22683</v>
      </c>
      <c r="AB94" s="11">
        <f t="shared" si="16"/>
        <v>3952105</v>
      </c>
      <c r="AC94" s="11">
        <f t="shared" si="16"/>
        <v>5442016</v>
      </c>
      <c r="AD94" s="11">
        <f t="shared" si="16"/>
        <v>1743393</v>
      </c>
      <c r="AE94" s="11">
        <f t="shared" si="16"/>
        <v>4395535</v>
      </c>
      <c r="AF94" s="11">
        <f t="shared" si="16"/>
        <v>3165569</v>
      </c>
      <c r="AG94" s="11">
        <f t="shared" si="16"/>
        <v>7541490</v>
      </c>
      <c r="AH94" s="11">
        <f t="shared" si="16"/>
        <v>523</v>
      </c>
      <c r="AI94" s="11">
        <f t="shared" si="16"/>
        <v>1094</v>
      </c>
      <c r="AJ94" s="11">
        <f t="shared" ref="AJ94:BQ94" si="17">AJ105-AJ83-AJ72-AJ61-AJ39-AJ28-AJ17-AJ6-AJ50</f>
        <v>33087</v>
      </c>
      <c r="AK94" s="11">
        <f t="shared" si="17"/>
        <v>50366</v>
      </c>
      <c r="AL94" s="11">
        <f t="shared" si="17"/>
        <v>4072</v>
      </c>
      <c r="AM94" s="11">
        <f t="shared" si="17"/>
        <v>6400</v>
      </c>
      <c r="AN94" s="11">
        <f t="shared" si="17"/>
        <v>-1</v>
      </c>
      <c r="AO94" s="11">
        <f t="shared" si="17"/>
        <v>0</v>
      </c>
      <c r="AP94" s="11">
        <f t="shared" si="17"/>
        <v>687633.86699999683</v>
      </c>
      <c r="AQ94" s="11">
        <f t="shared" si="17"/>
        <v>1834215.8730000034</v>
      </c>
      <c r="AR94" s="11">
        <f t="shared" si="17"/>
        <v>10587641</v>
      </c>
      <c r="AS94" s="11">
        <f t="shared" si="17"/>
        <v>13386081</v>
      </c>
      <c r="AT94" s="11">
        <f t="shared" si="17"/>
        <v>9240570</v>
      </c>
      <c r="AU94" s="11">
        <f t="shared" si="17"/>
        <v>24113356</v>
      </c>
      <c r="AV94" s="11">
        <f t="shared" si="17"/>
        <v>14620</v>
      </c>
      <c r="AW94" s="11">
        <f t="shared" si="17"/>
        <v>28761</v>
      </c>
      <c r="AX94" s="11">
        <f t="shared" si="17"/>
        <v>2578205</v>
      </c>
      <c r="AY94" s="11">
        <f t="shared" si="17"/>
        <v>4276206</v>
      </c>
      <c r="AZ94" s="11">
        <f t="shared" ref="AZ94:BA94" si="18">AZ105-AZ83-AZ72-AZ61-AZ39-AZ28-AZ17-AZ6-AZ50</f>
        <v>0</v>
      </c>
      <c r="BA94" s="11">
        <f t="shared" si="18"/>
        <v>0</v>
      </c>
      <c r="BB94" s="11">
        <f t="shared" si="17"/>
        <v>0</v>
      </c>
      <c r="BC94" s="11">
        <f t="shared" si="17"/>
        <v>0</v>
      </c>
      <c r="BD94" s="11">
        <f t="shared" si="17"/>
        <v>332696</v>
      </c>
      <c r="BE94" s="11">
        <f t="shared" si="17"/>
        <v>2507719</v>
      </c>
      <c r="BF94" s="11">
        <f t="shared" si="17"/>
        <v>2907071</v>
      </c>
      <c r="BG94" s="11">
        <f t="shared" si="17"/>
        <v>5183081</v>
      </c>
      <c r="BH94" s="11">
        <f t="shared" si="17"/>
        <v>20966</v>
      </c>
      <c r="BI94" s="11">
        <f t="shared" si="17"/>
        <v>533482</v>
      </c>
      <c r="BJ94" s="11">
        <f t="shared" si="17"/>
        <v>9543016</v>
      </c>
      <c r="BK94" s="11">
        <f t="shared" si="17"/>
        <v>17696036</v>
      </c>
      <c r="BL94" s="11">
        <f t="shared" si="17"/>
        <v>510064</v>
      </c>
      <c r="BM94" s="11">
        <f t="shared" si="17"/>
        <v>1784408</v>
      </c>
      <c r="BN94" s="11">
        <f t="shared" si="17"/>
        <v>6055580</v>
      </c>
      <c r="BO94" s="11">
        <f t="shared" si="17"/>
        <v>9796364</v>
      </c>
      <c r="BP94" s="11">
        <f t="shared" si="17"/>
        <v>1215391</v>
      </c>
      <c r="BQ94" s="11">
        <f t="shared" si="17"/>
        <v>3624997</v>
      </c>
      <c r="BR94" s="99">
        <f>SUM(B94+D94+F94+H94+J94+L94+N94+P94+R94+T94+V94+X94+Z94+AB94+AD94+AF94+AH94+AJ94+AL94+AN94+AP94+AR94+AT94+AV94+AX94+AZ94+BB94+BD94+BF94+BH94+BJ94+BL94+BN94+BP94)</f>
        <v>84159884.246999994</v>
      </c>
      <c r="BS94" s="99">
        <f>SUM(C94+E94+G94+I94+K94+M94+O94+Q94+S94+U94+W94+Y94+AA94+AC94+AE94+AG94+AI94+AK94+AM94+AO94+AQ94+AS94+AU94+AW94+AY94+BA94+BC94+BE94+BG94+BI94+BK94+BM94+BO94+BQ94)</f>
        <v>148552176.64300001</v>
      </c>
    </row>
    <row r="95" spans="1:71" x14ac:dyDescent="0.25">
      <c r="A95" s="28" t="s">
        <v>290</v>
      </c>
      <c r="B95" s="11">
        <f t="shared" ref="B95:AI95" si="19">B106-B84-B73-B62-B40-B29-B18-B7-B51</f>
        <v>0</v>
      </c>
      <c r="C95" s="11">
        <f t="shared" si="19"/>
        <v>0</v>
      </c>
      <c r="D95" s="11">
        <f t="shared" si="19"/>
        <v>0</v>
      </c>
      <c r="E95" s="11">
        <f t="shared" si="19"/>
        <v>0</v>
      </c>
      <c r="F95" s="11">
        <f t="shared" si="19"/>
        <v>5779</v>
      </c>
      <c r="G95" s="11">
        <f t="shared" si="19"/>
        <v>5779</v>
      </c>
      <c r="H95" s="11">
        <f t="shared" si="19"/>
        <v>0</v>
      </c>
      <c r="I95" s="11">
        <f t="shared" si="19"/>
        <v>0</v>
      </c>
      <c r="J95" s="11">
        <f t="shared" si="19"/>
        <v>0</v>
      </c>
      <c r="K95" s="11">
        <f t="shared" si="19"/>
        <v>0</v>
      </c>
      <c r="L95" s="11">
        <f t="shared" si="19"/>
        <v>-1</v>
      </c>
      <c r="M95" s="11">
        <f t="shared" si="19"/>
        <v>0</v>
      </c>
      <c r="N95" s="11">
        <f t="shared" si="19"/>
        <v>0</v>
      </c>
      <c r="O95" s="11">
        <f t="shared" si="19"/>
        <v>0</v>
      </c>
      <c r="P95" s="11">
        <f t="shared" si="19"/>
        <v>0</v>
      </c>
      <c r="Q95" s="11">
        <f t="shared" si="19"/>
        <v>0</v>
      </c>
      <c r="R95" s="11">
        <f t="shared" si="19"/>
        <v>0</v>
      </c>
      <c r="S95" s="11">
        <f t="shared" si="19"/>
        <v>0</v>
      </c>
      <c r="T95" s="11">
        <f t="shared" si="19"/>
        <v>0</v>
      </c>
      <c r="U95" s="11">
        <f t="shared" si="19"/>
        <v>0</v>
      </c>
      <c r="V95" s="11">
        <f t="shared" si="19"/>
        <v>0</v>
      </c>
      <c r="W95" s="11">
        <f t="shared" si="19"/>
        <v>0</v>
      </c>
      <c r="X95" s="11">
        <f t="shared" si="19"/>
        <v>0</v>
      </c>
      <c r="Y95" s="11">
        <f t="shared" si="19"/>
        <v>0</v>
      </c>
      <c r="Z95" s="11">
        <f t="shared" si="19"/>
        <v>546110</v>
      </c>
      <c r="AA95" s="11">
        <f t="shared" si="19"/>
        <v>962472</v>
      </c>
      <c r="AB95" s="11">
        <f t="shared" si="19"/>
        <v>0</v>
      </c>
      <c r="AC95" s="11">
        <f t="shared" si="19"/>
        <v>0</v>
      </c>
      <c r="AD95" s="11">
        <f t="shared" si="19"/>
        <v>0</v>
      </c>
      <c r="AE95" s="11">
        <f t="shared" si="19"/>
        <v>0</v>
      </c>
      <c r="AF95" s="11">
        <f t="shared" si="19"/>
        <v>0</v>
      </c>
      <c r="AG95" s="11">
        <f t="shared" si="19"/>
        <v>0</v>
      </c>
      <c r="AH95" s="11">
        <f t="shared" si="19"/>
        <v>0</v>
      </c>
      <c r="AI95" s="11">
        <f t="shared" si="19"/>
        <v>16</v>
      </c>
      <c r="AJ95" s="11">
        <f t="shared" ref="AJ95:BQ95" si="20">AJ106-AJ84-AJ73-AJ62-AJ40-AJ29-AJ18-AJ7-AJ51</f>
        <v>0</v>
      </c>
      <c r="AK95" s="11">
        <f t="shared" si="20"/>
        <v>0</v>
      </c>
      <c r="AL95" s="11">
        <f t="shared" si="20"/>
        <v>0</v>
      </c>
      <c r="AM95" s="11">
        <f t="shared" si="20"/>
        <v>0</v>
      </c>
      <c r="AN95" s="11">
        <f t="shared" si="20"/>
        <v>0</v>
      </c>
      <c r="AO95" s="11">
        <f t="shared" si="20"/>
        <v>0</v>
      </c>
      <c r="AP95" s="11">
        <f t="shared" si="20"/>
        <v>57809.13300000006</v>
      </c>
      <c r="AQ95" s="11">
        <f t="shared" si="20"/>
        <v>69531.063999999897</v>
      </c>
      <c r="AR95" s="11">
        <f t="shared" si="20"/>
        <v>0</v>
      </c>
      <c r="AS95" s="11">
        <f t="shared" si="20"/>
        <v>0</v>
      </c>
      <c r="AT95" s="11">
        <f t="shared" si="20"/>
        <v>476201</v>
      </c>
      <c r="AU95" s="11">
        <f t="shared" si="20"/>
        <v>514569</v>
      </c>
      <c r="AV95" s="11">
        <f t="shared" si="20"/>
        <v>22</v>
      </c>
      <c r="AW95" s="11">
        <f t="shared" si="20"/>
        <v>1839</v>
      </c>
      <c r="AX95" s="11">
        <f t="shared" si="20"/>
        <v>0</v>
      </c>
      <c r="AY95" s="11">
        <f t="shared" si="20"/>
        <v>0</v>
      </c>
      <c r="AZ95" s="11">
        <f t="shared" ref="AZ95:BA95" si="21">AZ106-AZ84-AZ73-AZ62-AZ40-AZ29-AZ18-AZ7-AZ51</f>
        <v>0</v>
      </c>
      <c r="BA95" s="11">
        <f t="shared" si="21"/>
        <v>0</v>
      </c>
      <c r="BB95" s="11">
        <f t="shared" si="20"/>
        <v>0</v>
      </c>
      <c r="BC95" s="11">
        <f t="shared" si="20"/>
        <v>0</v>
      </c>
      <c r="BD95" s="11">
        <f t="shared" si="20"/>
        <v>0</v>
      </c>
      <c r="BE95" s="11">
        <f t="shared" si="20"/>
        <v>0</v>
      </c>
      <c r="BF95" s="11">
        <f t="shared" si="20"/>
        <v>0</v>
      </c>
      <c r="BG95" s="11">
        <f t="shared" si="20"/>
        <v>0</v>
      </c>
      <c r="BH95" s="11">
        <f t="shared" si="20"/>
        <v>0</v>
      </c>
      <c r="BI95" s="11">
        <f t="shared" si="20"/>
        <v>0</v>
      </c>
      <c r="BJ95" s="11">
        <f t="shared" si="20"/>
        <v>0</v>
      </c>
      <c r="BK95" s="11">
        <f t="shared" si="20"/>
        <v>0</v>
      </c>
      <c r="BL95" s="11">
        <f t="shared" si="20"/>
        <v>0</v>
      </c>
      <c r="BM95" s="11">
        <f t="shared" si="20"/>
        <v>0</v>
      </c>
      <c r="BN95" s="11">
        <f t="shared" si="20"/>
        <v>26903</v>
      </c>
      <c r="BO95" s="11">
        <f t="shared" si="20"/>
        <v>100635</v>
      </c>
      <c r="BP95" s="11">
        <f t="shared" si="20"/>
        <v>0</v>
      </c>
      <c r="BQ95" s="11">
        <f t="shared" si="20"/>
        <v>0</v>
      </c>
      <c r="BR95" s="99">
        <f t="shared" ref="BR95:BR99" si="22">SUM(B95+D95+F95+H95+J95+L95+N95+P95+R95+T95+V95+X95+Z95+AB95+AD95+AF95+AH95+AJ95+AL95+AN95+AP95+AR95+AT95+AV95+AX95+AZ95+BB95+BD95+BF95+BH95+BJ95+BL95+BN95+BP95)</f>
        <v>1112823.1329999999</v>
      </c>
      <c r="BS95" s="99">
        <f t="shared" ref="BS95:BS99" si="23">SUM(C95+E95+G95+I95+K95+M95+O95+Q95+S95+U95+W95+Y95+AA95+AC95+AE95+AG95+AI95+AK95+AM95+AO95+AQ95+AS95+AU95+AW95+AY95+BA95+BC95+BE95+BG95+BI95+BK95+BM95+BO95+BQ95)</f>
        <v>1654841.0639999998</v>
      </c>
    </row>
    <row r="96" spans="1:71" x14ac:dyDescent="0.25">
      <c r="A96" s="28" t="s">
        <v>291</v>
      </c>
      <c r="B96" s="11">
        <f t="shared" ref="B96:AI96" si="24">B107-B85-B74-B63-B41-B30-B19-B8-B52</f>
        <v>0</v>
      </c>
      <c r="C96" s="11">
        <f t="shared" si="24"/>
        <v>0</v>
      </c>
      <c r="D96" s="11">
        <f t="shared" si="24"/>
        <v>0</v>
      </c>
      <c r="E96" s="11">
        <f t="shared" si="24"/>
        <v>0</v>
      </c>
      <c r="F96" s="11">
        <f t="shared" si="24"/>
        <v>15660929</v>
      </c>
      <c r="G96" s="11">
        <f t="shared" si="24"/>
        <v>22320345</v>
      </c>
      <c r="H96" s="11">
        <f t="shared" si="24"/>
        <v>1845</v>
      </c>
      <c r="I96" s="11">
        <f t="shared" si="24"/>
        <v>14049</v>
      </c>
      <c r="J96" s="11">
        <f t="shared" si="24"/>
        <v>4725002</v>
      </c>
      <c r="K96" s="11">
        <f t="shared" si="24"/>
        <v>6439305</v>
      </c>
      <c r="L96" s="11">
        <f t="shared" si="24"/>
        <v>312345</v>
      </c>
      <c r="M96" s="11">
        <f t="shared" si="24"/>
        <v>1160238</v>
      </c>
      <c r="N96" s="11">
        <f t="shared" si="24"/>
        <v>1565106</v>
      </c>
      <c r="O96" s="11">
        <f t="shared" si="24"/>
        <v>2917862</v>
      </c>
      <c r="P96" s="11">
        <f t="shared" si="24"/>
        <v>0</v>
      </c>
      <c r="Q96" s="11">
        <f t="shared" si="24"/>
        <v>0</v>
      </c>
      <c r="R96" s="11">
        <f t="shared" si="24"/>
        <v>0</v>
      </c>
      <c r="S96" s="11">
        <f t="shared" si="24"/>
        <v>0</v>
      </c>
      <c r="T96" s="11">
        <f t="shared" si="24"/>
        <v>4</v>
      </c>
      <c r="U96" s="11">
        <f t="shared" si="24"/>
        <v>-311</v>
      </c>
      <c r="V96" s="11">
        <f t="shared" si="24"/>
        <v>300606.08000000002</v>
      </c>
      <c r="W96" s="11">
        <f t="shared" si="24"/>
        <v>408594.6</v>
      </c>
      <c r="X96" s="11">
        <f t="shared" si="24"/>
        <v>476096</v>
      </c>
      <c r="Y96" s="11">
        <f t="shared" si="24"/>
        <v>680179</v>
      </c>
      <c r="Z96" s="11">
        <f t="shared" si="24"/>
        <v>247335</v>
      </c>
      <c r="AA96" s="11">
        <f t="shared" si="24"/>
        <v>437544</v>
      </c>
      <c r="AB96" s="11">
        <f t="shared" si="24"/>
        <v>0</v>
      </c>
      <c r="AC96" s="11">
        <f t="shared" si="24"/>
        <v>0</v>
      </c>
      <c r="AD96" s="11">
        <f t="shared" si="24"/>
        <v>0</v>
      </c>
      <c r="AE96" s="11">
        <f t="shared" si="24"/>
        <v>0</v>
      </c>
      <c r="AF96" s="11">
        <f t="shared" si="24"/>
        <v>2407042</v>
      </c>
      <c r="AG96" s="11">
        <f t="shared" si="24"/>
        <v>5779809</v>
      </c>
      <c r="AH96" s="11">
        <f t="shared" si="24"/>
        <v>270</v>
      </c>
      <c r="AI96" s="11">
        <f t="shared" si="24"/>
        <v>562</v>
      </c>
      <c r="AJ96" s="11">
        <f t="shared" ref="AJ96:BQ96" si="25">AJ107-AJ85-AJ74-AJ63-AJ41-AJ30-AJ19-AJ8-AJ52</f>
        <v>8336</v>
      </c>
      <c r="AK96" s="11">
        <f t="shared" si="25"/>
        <v>13324</v>
      </c>
      <c r="AL96" s="11">
        <f t="shared" si="25"/>
        <v>0</v>
      </c>
      <c r="AM96" s="11">
        <f t="shared" si="25"/>
        <v>0</v>
      </c>
      <c r="AN96" s="11">
        <f t="shared" si="25"/>
        <v>-1</v>
      </c>
      <c r="AO96" s="11">
        <f t="shared" si="25"/>
        <v>-1</v>
      </c>
      <c r="AP96" s="11">
        <f t="shared" si="25"/>
        <v>206149.06099999789</v>
      </c>
      <c r="AQ96" s="11">
        <f t="shared" si="25"/>
        <v>-86499.145999997854</v>
      </c>
      <c r="AR96" s="11">
        <f t="shared" si="25"/>
        <v>0</v>
      </c>
      <c r="AS96" s="11">
        <f t="shared" si="25"/>
        <v>0</v>
      </c>
      <c r="AT96" s="11">
        <f t="shared" si="25"/>
        <v>2863380</v>
      </c>
      <c r="AU96" s="11">
        <f t="shared" si="25"/>
        <v>7569089</v>
      </c>
      <c r="AV96" s="11">
        <f t="shared" si="25"/>
        <v>833</v>
      </c>
      <c r="AW96" s="11">
        <f t="shared" si="25"/>
        <v>1483</v>
      </c>
      <c r="AX96" s="11">
        <f t="shared" si="25"/>
        <v>1877622</v>
      </c>
      <c r="AY96" s="11">
        <f t="shared" si="25"/>
        <v>2984426</v>
      </c>
      <c r="AZ96" s="11">
        <f t="shared" ref="AZ96:BA96" si="26">AZ107-AZ85-AZ74-AZ63-AZ41-AZ30-AZ19-AZ8-AZ52</f>
        <v>0</v>
      </c>
      <c r="BA96" s="11">
        <f t="shared" si="26"/>
        <v>0</v>
      </c>
      <c r="BB96" s="11">
        <f t="shared" si="25"/>
        <v>0</v>
      </c>
      <c r="BC96" s="11">
        <f t="shared" si="25"/>
        <v>0</v>
      </c>
      <c r="BD96" s="11">
        <f t="shared" si="25"/>
        <v>0</v>
      </c>
      <c r="BE96" s="11">
        <f t="shared" si="25"/>
        <v>0</v>
      </c>
      <c r="BF96" s="11">
        <f t="shared" si="25"/>
        <v>2244518</v>
      </c>
      <c r="BG96" s="11">
        <f t="shared" si="25"/>
        <v>4012075</v>
      </c>
      <c r="BH96" s="11">
        <f t="shared" si="25"/>
        <v>1557</v>
      </c>
      <c r="BI96" s="11">
        <f t="shared" si="25"/>
        <v>498571</v>
      </c>
      <c r="BJ96" s="11">
        <f t="shared" si="25"/>
        <v>2415015</v>
      </c>
      <c r="BK96" s="11">
        <f t="shared" si="25"/>
        <v>4492064</v>
      </c>
      <c r="BL96" s="11">
        <f t="shared" si="25"/>
        <v>248648</v>
      </c>
      <c r="BM96" s="11">
        <f t="shared" si="25"/>
        <v>928686</v>
      </c>
      <c r="BN96" s="11">
        <f t="shared" si="25"/>
        <v>4386837</v>
      </c>
      <c r="BO96" s="11">
        <f t="shared" si="25"/>
        <v>7443084</v>
      </c>
      <c r="BP96" s="11">
        <f t="shared" si="25"/>
        <v>912352</v>
      </c>
      <c r="BQ96" s="11">
        <f t="shared" si="25"/>
        <v>2429715</v>
      </c>
      <c r="BR96" s="99">
        <f t="shared" si="22"/>
        <v>40861826.140999995</v>
      </c>
      <c r="BS96" s="99">
        <f t="shared" si="23"/>
        <v>70444193.453999996</v>
      </c>
    </row>
    <row r="97" spans="1:71" x14ac:dyDescent="0.25">
      <c r="A97" s="28" t="s">
        <v>294</v>
      </c>
      <c r="B97" s="11">
        <f t="shared" ref="B97:AI97" si="27">B108-B86-B75-B64-B42-B31-B20-B9-B53</f>
        <v>0</v>
      </c>
      <c r="C97" s="11">
        <f t="shared" si="27"/>
        <v>0</v>
      </c>
      <c r="D97" s="11">
        <f t="shared" si="27"/>
        <v>0</v>
      </c>
      <c r="E97" s="11">
        <f t="shared" si="27"/>
        <v>0</v>
      </c>
      <c r="F97" s="11">
        <f t="shared" si="27"/>
        <v>5252518</v>
      </c>
      <c r="G97" s="11">
        <f t="shared" si="27"/>
        <v>7490125</v>
      </c>
      <c r="H97" s="11">
        <f t="shared" si="27"/>
        <v>0</v>
      </c>
      <c r="I97" s="11">
        <f t="shared" si="27"/>
        <v>0</v>
      </c>
      <c r="J97" s="11">
        <f t="shared" si="27"/>
        <v>0</v>
      </c>
      <c r="K97" s="11">
        <f t="shared" si="27"/>
        <v>0</v>
      </c>
      <c r="L97" s="11">
        <f t="shared" si="27"/>
        <v>95929</v>
      </c>
      <c r="M97" s="11">
        <f t="shared" si="27"/>
        <v>315787</v>
      </c>
      <c r="N97" s="11">
        <f t="shared" si="27"/>
        <v>0</v>
      </c>
      <c r="O97" s="11">
        <f t="shared" si="27"/>
        <v>0</v>
      </c>
      <c r="P97" s="11">
        <f t="shared" si="27"/>
        <v>1</v>
      </c>
      <c r="Q97" s="11">
        <f t="shared" si="27"/>
        <v>0</v>
      </c>
      <c r="R97" s="11">
        <f t="shared" si="27"/>
        <v>0</v>
      </c>
      <c r="S97" s="11">
        <f t="shared" si="27"/>
        <v>0</v>
      </c>
      <c r="T97" s="11">
        <f t="shared" si="27"/>
        <v>0</v>
      </c>
      <c r="U97" s="11">
        <f t="shared" si="27"/>
        <v>0</v>
      </c>
      <c r="V97" s="11">
        <f t="shared" si="27"/>
        <v>435741.16</v>
      </c>
      <c r="W97" s="11">
        <f t="shared" si="27"/>
        <v>443550.61</v>
      </c>
      <c r="X97" s="11">
        <f t="shared" si="27"/>
        <v>359546</v>
      </c>
      <c r="Y97" s="11">
        <f t="shared" si="27"/>
        <v>513858</v>
      </c>
      <c r="Z97" s="11">
        <f t="shared" si="27"/>
        <v>312166</v>
      </c>
      <c r="AA97" s="11">
        <f t="shared" si="27"/>
        <v>547611</v>
      </c>
      <c r="AB97" s="11">
        <f t="shared" si="27"/>
        <v>0</v>
      </c>
      <c r="AC97" s="11">
        <f t="shared" si="27"/>
        <v>0</v>
      </c>
      <c r="AD97" s="11">
        <f t="shared" si="27"/>
        <v>0</v>
      </c>
      <c r="AE97" s="11">
        <f t="shared" si="27"/>
        <v>0</v>
      </c>
      <c r="AF97" s="11">
        <f t="shared" si="27"/>
        <v>0</v>
      </c>
      <c r="AG97" s="11">
        <f t="shared" si="27"/>
        <v>0</v>
      </c>
      <c r="AH97" s="11">
        <f t="shared" si="27"/>
        <v>0</v>
      </c>
      <c r="AI97" s="11">
        <f t="shared" si="27"/>
        <v>0</v>
      </c>
      <c r="AJ97" s="11">
        <f t="shared" ref="AJ97:BQ97" si="28">AJ108-AJ86-AJ75-AJ64-AJ42-AJ31-AJ20-AJ9-AJ53</f>
        <v>0</v>
      </c>
      <c r="AK97" s="11">
        <f t="shared" si="28"/>
        <v>0</v>
      </c>
      <c r="AL97" s="11">
        <f t="shared" si="28"/>
        <v>0</v>
      </c>
      <c r="AM97" s="11">
        <f t="shared" si="28"/>
        <v>0</v>
      </c>
      <c r="AN97" s="11">
        <f t="shared" si="28"/>
        <v>0</v>
      </c>
      <c r="AO97" s="11">
        <f t="shared" si="28"/>
        <v>0</v>
      </c>
      <c r="AP97" s="11">
        <f t="shared" si="28"/>
        <v>539292.93899999466</v>
      </c>
      <c r="AQ97" s="11">
        <f t="shared" si="28"/>
        <v>1990246.082999995</v>
      </c>
      <c r="AR97" s="11">
        <f t="shared" si="28"/>
        <v>0</v>
      </c>
      <c r="AS97" s="11">
        <f t="shared" si="28"/>
        <v>0</v>
      </c>
      <c r="AT97" s="11">
        <f t="shared" si="28"/>
        <v>0</v>
      </c>
      <c r="AU97" s="11">
        <f t="shared" si="28"/>
        <v>0</v>
      </c>
      <c r="AV97" s="11">
        <f t="shared" si="28"/>
        <v>0</v>
      </c>
      <c r="AW97" s="11">
        <f t="shared" si="28"/>
        <v>0</v>
      </c>
      <c r="AX97" s="11">
        <f t="shared" si="28"/>
        <v>700583</v>
      </c>
      <c r="AY97" s="11">
        <f t="shared" si="28"/>
        <v>1291780</v>
      </c>
      <c r="AZ97" s="11">
        <f t="shared" ref="AZ97:BA97" si="29">AZ108-AZ86-AZ75-AZ64-AZ42-AZ31-AZ20-AZ9-AZ53</f>
        <v>0</v>
      </c>
      <c r="BA97" s="11">
        <f t="shared" si="29"/>
        <v>0</v>
      </c>
      <c r="BB97" s="11">
        <f t="shared" si="28"/>
        <v>0</v>
      </c>
      <c r="BC97" s="11">
        <f t="shared" si="28"/>
        <v>0</v>
      </c>
      <c r="BD97" s="11">
        <f t="shared" si="28"/>
        <v>0</v>
      </c>
      <c r="BE97" s="11">
        <f t="shared" si="28"/>
        <v>0</v>
      </c>
      <c r="BF97" s="11">
        <f t="shared" si="28"/>
        <v>0</v>
      </c>
      <c r="BG97" s="11">
        <f t="shared" si="28"/>
        <v>0</v>
      </c>
      <c r="BH97" s="11">
        <f t="shared" si="28"/>
        <v>19410</v>
      </c>
      <c r="BI97" s="11">
        <f t="shared" si="28"/>
        <v>34909</v>
      </c>
      <c r="BJ97" s="11">
        <f t="shared" si="28"/>
        <v>0</v>
      </c>
      <c r="BK97" s="11">
        <f t="shared" si="28"/>
        <v>0</v>
      </c>
      <c r="BL97" s="11">
        <f t="shared" si="28"/>
        <v>0</v>
      </c>
      <c r="BM97" s="11">
        <f t="shared" si="28"/>
        <v>0</v>
      </c>
      <c r="BN97" s="11">
        <f t="shared" si="28"/>
        <v>0</v>
      </c>
      <c r="BO97" s="11">
        <f t="shared" si="28"/>
        <v>0</v>
      </c>
      <c r="BP97" s="11">
        <f t="shared" si="28"/>
        <v>0</v>
      </c>
      <c r="BQ97" s="11">
        <f t="shared" si="28"/>
        <v>0</v>
      </c>
      <c r="BR97" s="99">
        <f t="shared" si="22"/>
        <v>7715187.0989999948</v>
      </c>
      <c r="BS97" s="99">
        <f t="shared" si="23"/>
        <v>12627866.692999994</v>
      </c>
    </row>
    <row r="98" spans="1:71" x14ac:dyDescent="0.25">
      <c r="A98" s="28" t="s">
        <v>293</v>
      </c>
      <c r="B98" s="11">
        <f t="shared" ref="B98:AI98" si="30">B109-B87-B76-B65-B43-B32-B21-B10-B54</f>
        <v>0</v>
      </c>
      <c r="C98" s="11">
        <f t="shared" si="30"/>
        <v>0</v>
      </c>
      <c r="D98" s="11">
        <f t="shared" si="30"/>
        <v>0</v>
      </c>
      <c r="E98" s="11">
        <f t="shared" si="30"/>
        <v>0</v>
      </c>
      <c r="F98" s="11">
        <f t="shared" si="30"/>
        <v>11264147</v>
      </c>
      <c r="G98" s="11">
        <f t="shared" si="30"/>
        <v>35948485</v>
      </c>
      <c r="H98" s="11">
        <f t="shared" si="30"/>
        <v>171501</v>
      </c>
      <c r="I98" s="11">
        <f t="shared" si="30"/>
        <v>171501</v>
      </c>
      <c r="J98" s="11">
        <f t="shared" si="30"/>
        <v>976471</v>
      </c>
      <c r="K98" s="11">
        <f t="shared" si="30"/>
        <v>6481079</v>
      </c>
      <c r="L98" s="11">
        <f t="shared" si="30"/>
        <v>204651</v>
      </c>
      <c r="M98" s="11">
        <f t="shared" si="30"/>
        <v>778844</v>
      </c>
      <c r="N98" s="11">
        <f t="shared" si="30"/>
        <v>-268306</v>
      </c>
      <c r="O98" s="11">
        <f t="shared" si="30"/>
        <v>466394</v>
      </c>
      <c r="P98" s="11">
        <f t="shared" si="30"/>
        <v>0</v>
      </c>
      <c r="Q98" s="11">
        <f t="shared" si="30"/>
        <v>0</v>
      </c>
      <c r="R98" s="11">
        <f t="shared" si="30"/>
        <v>0</v>
      </c>
      <c r="S98" s="11">
        <f t="shared" si="30"/>
        <v>0</v>
      </c>
      <c r="T98" s="11">
        <f t="shared" si="30"/>
        <v>326</v>
      </c>
      <c r="U98" s="11">
        <f t="shared" si="30"/>
        <v>326</v>
      </c>
      <c r="V98" s="11">
        <f t="shared" si="30"/>
        <v>19547.97</v>
      </c>
      <c r="W98" s="11">
        <f t="shared" si="30"/>
        <v>60238463.780000001</v>
      </c>
      <c r="X98" s="11">
        <f t="shared" si="30"/>
        <v>1735637</v>
      </c>
      <c r="Y98" s="11">
        <f t="shared" si="30"/>
        <v>1735637</v>
      </c>
      <c r="Z98" s="11">
        <f t="shared" si="30"/>
        <v>-294462</v>
      </c>
      <c r="AA98" s="11">
        <f t="shared" si="30"/>
        <v>602316</v>
      </c>
      <c r="AB98" s="11">
        <f t="shared" si="30"/>
        <v>0</v>
      </c>
      <c r="AC98" s="11">
        <f t="shared" si="30"/>
        <v>0</v>
      </c>
      <c r="AD98" s="11">
        <f t="shared" si="30"/>
        <v>0</v>
      </c>
      <c r="AE98" s="11">
        <f t="shared" si="30"/>
        <v>0</v>
      </c>
      <c r="AF98" s="11">
        <f t="shared" si="30"/>
        <v>411376</v>
      </c>
      <c r="AG98" s="11">
        <f t="shared" si="30"/>
        <v>2186921</v>
      </c>
      <c r="AH98" s="11">
        <f t="shared" si="30"/>
        <v>11743</v>
      </c>
      <c r="AI98" s="11">
        <f t="shared" si="30"/>
        <v>11743</v>
      </c>
      <c r="AJ98" s="11">
        <f t="shared" ref="AJ98:BQ98" si="31">AJ109-AJ87-AJ76-AJ65-AJ43-AJ32-AJ21-AJ10-AJ54</f>
        <v>425703</v>
      </c>
      <c r="AK98" s="11">
        <f t="shared" si="31"/>
        <v>425703</v>
      </c>
      <c r="AL98" s="11">
        <f t="shared" si="31"/>
        <v>0</v>
      </c>
      <c r="AM98" s="11">
        <f t="shared" si="31"/>
        <v>0</v>
      </c>
      <c r="AN98" s="11">
        <f t="shared" si="31"/>
        <v>0</v>
      </c>
      <c r="AO98" s="11">
        <f t="shared" si="31"/>
        <v>0</v>
      </c>
      <c r="AP98" s="11">
        <f t="shared" si="31"/>
        <v>1787920.5639683269</v>
      </c>
      <c r="AQ98" s="11">
        <f t="shared" si="31"/>
        <v>8557698.1649683826</v>
      </c>
      <c r="AR98" s="11">
        <f t="shared" si="31"/>
        <v>0</v>
      </c>
      <c r="AS98" s="11">
        <f t="shared" si="31"/>
        <v>0</v>
      </c>
      <c r="AT98" s="11">
        <f t="shared" si="31"/>
        <v>-5216918</v>
      </c>
      <c r="AU98" s="11">
        <f t="shared" si="31"/>
        <v>16037284</v>
      </c>
      <c r="AV98" s="11">
        <f t="shared" si="31"/>
        <v>5799</v>
      </c>
      <c r="AW98" s="11">
        <f t="shared" si="31"/>
        <v>382371</v>
      </c>
      <c r="AX98" s="11">
        <f t="shared" si="31"/>
        <v>2422455</v>
      </c>
      <c r="AY98" s="11">
        <f t="shared" si="31"/>
        <v>2422455</v>
      </c>
      <c r="AZ98" s="11">
        <f t="shared" ref="AZ98:BA98" si="32">AZ109-AZ87-AZ76-AZ65-AZ43-AZ32-AZ21-AZ10-AZ54</f>
        <v>0</v>
      </c>
      <c r="BA98" s="11">
        <f t="shared" si="32"/>
        <v>0</v>
      </c>
      <c r="BB98" s="11">
        <f t="shared" si="31"/>
        <v>0</v>
      </c>
      <c r="BC98" s="11">
        <f t="shared" si="31"/>
        <v>0</v>
      </c>
      <c r="BD98" s="11">
        <f t="shared" si="31"/>
        <v>0</v>
      </c>
      <c r="BE98" s="11">
        <f t="shared" si="31"/>
        <v>0</v>
      </c>
      <c r="BF98" s="11">
        <f t="shared" si="31"/>
        <v>4477683</v>
      </c>
      <c r="BG98" s="11">
        <f t="shared" si="31"/>
        <v>4477683</v>
      </c>
      <c r="BH98" s="11">
        <f t="shared" si="31"/>
        <v>163001</v>
      </c>
      <c r="BI98" s="11">
        <f t="shared" si="31"/>
        <v>163001</v>
      </c>
      <c r="BJ98" s="11">
        <f t="shared" si="31"/>
        <v>5342114</v>
      </c>
      <c r="BK98" s="11">
        <f t="shared" si="31"/>
        <v>5342114</v>
      </c>
      <c r="BL98" s="11">
        <f t="shared" si="31"/>
        <v>73760</v>
      </c>
      <c r="BM98" s="11">
        <f t="shared" si="31"/>
        <v>6727299</v>
      </c>
      <c r="BN98" s="11">
        <f t="shared" si="31"/>
        <v>5954735</v>
      </c>
      <c r="BO98" s="11">
        <f t="shared" si="31"/>
        <v>6450913</v>
      </c>
      <c r="BP98" s="11">
        <f t="shared" si="31"/>
        <v>6138</v>
      </c>
      <c r="BQ98" s="11">
        <f t="shared" si="31"/>
        <v>8925258</v>
      </c>
      <c r="BR98" s="99">
        <f t="shared" si="22"/>
        <v>29675022.533968329</v>
      </c>
      <c r="BS98" s="99">
        <f t="shared" si="23"/>
        <v>168533488.9449684</v>
      </c>
    </row>
    <row r="99" spans="1:71" x14ac:dyDescent="0.25">
      <c r="A99" s="28" t="s">
        <v>292</v>
      </c>
      <c r="B99" s="11">
        <f t="shared" ref="B99:AI99" si="33">B110-B88-B77-B66-B44-B33-B22-B11-B55</f>
        <v>0</v>
      </c>
      <c r="C99" s="11">
        <f t="shared" si="33"/>
        <v>0</v>
      </c>
      <c r="D99" s="11">
        <f t="shared" si="33"/>
        <v>0</v>
      </c>
      <c r="E99" s="11">
        <f t="shared" si="33"/>
        <v>0</v>
      </c>
      <c r="F99" s="11">
        <f t="shared" si="33"/>
        <v>0</v>
      </c>
      <c r="G99" s="11">
        <f t="shared" si="33"/>
        <v>27005967</v>
      </c>
      <c r="H99" s="11">
        <f t="shared" si="33"/>
        <v>154507</v>
      </c>
      <c r="I99" s="11">
        <f t="shared" si="33"/>
        <v>139503</v>
      </c>
      <c r="J99" s="11">
        <f t="shared" si="33"/>
        <v>0</v>
      </c>
      <c r="K99" s="11">
        <f t="shared" si="33"/>
        <v>4978768</v>
      </c>
      <c r="L99" s="11">
        <f t="shared" si="33"/>
        <v>-1</v>
      </c>
      <c r="M99" s="11">
        <f t="shared" si="33"/>
        <v>811846</v>
      </c>
      <c r="N99" s="11">
        <f t="shared" si="33"/>
        <v>1</v>
      </c>
      <c r="O99" s="11">
        <f t="shared" si="33"/>
        <v>888146</v>
      </c>
      <c r="P99" s="11">
        <f t="shared" si="33"/>
        <v>0</v>
      </c>
      <c r="Q99" s="11">
        <f t="shared" si="33"/>
        <v>0</v>
      </c>
      <c r="R99" s="11">
        <f t="shared" si="33"/>
        <v>0</v>
      </c>
      <c r="S99" s="11">
        <f t="shared" si="33"/>
        <v>0</v>
      </c>
      <c r="T99" s="11">
        <f t="shared" si="33"/>
        <v>316</v>
      </c>
      <c r="U99" s="11">
        <f t="shared" si="33"/>
        <v>342</v>
      </c>
      <c r="V99" s="11">
        <f t="shared" si="33"/>
        <v>0</v>
      </c>
      <c r="W99" s="11">
        <f t="shared" si="33"/>
        <v>58777165.600000001</v>
      </c>
      <c r="X99" s="11">
        <f t="shared" si="33"/>
        <v>1666507.9</v>
      </c>
      <c r="Y99" s="11">
        <f t="shared" si="33"/>
        <v>1548230</v>
      </c>
      <c r="Z99" s="11">
        <f t="shared" si="33"/>
        <v>-1</v>
      </c>
      <c r="AA99" s="11">
        <f t="shared" si="33"/>
        <v>1123970</v>
      </c>
      <c r="AB99" s="11">
        <f t="shared" si="33"/>
        <v>0</v>
      </c>
      <c r="AC99" s="11">
        <f t="shared" si="33"/>
        <v>0</v>
      </c>
      <c r="AD99" s="11">
        <f t="shared" si="33"/>
        <v>0</v>
      </c>
      <c r="AE99" s="11">
        <f t="shared" si="33"/>
        <v>0</v>
      </c>
      <c r="AF99" s="11">
        <f t="shared" si="33"/>
        <v>0</v>
      </c>
      <c r="AG99" s="11">
        <f t="shared" si="33"/>
        <v>2595250</v>
      </c>
      <c r="AH99" s="11">
        <f t="shared" si="33"/>
        <v>5696</v>
      </c>
      <c r="AI99" s="11">
        <f t="shared" si="33"/>
        <v>3939</v>
      </c>
      <c r="AJ99" s="11">
        <f t="shared" ref="AJ99:BQ99" si="34">AJ110-AJ88-AJ77-AJ66-AJ44-AJ33-AJ22-AJ11-AJ55</f>
        <v>293906</v>
      </c>
      <c r="AK99" s="11">
        <f t="shared" si="34"/>
        <v>293906</v>
      </c>
      <c r="AL99" s="11">
        <f t="shared" si="34"/>
        <v>0</v>
      </c>
      <c r="AM99" s="11">
        <f t="shared" si="34"/>
        <v>0</v>
      </c>
      <c r="AN99" s="11">
        <f t="shared" si="34"/>
        <v>0</v>
      </c>
      <c r="AO99" s="11">
        <f t="shared" si="34"/>
        <v>0</v>
      </c>
      <c r="AP99" s="11">
        <f t="shared" si="34"/>
        <v>2.0000002114102244E-3</v>
      </c>
      <c r="AQ99" s="11">
        <f t="shared" si="34"/>
        <v>8279088.2979999864</v>
      </c>
      <c r="AR99" s="11">
        <f t="shared" si="34"/>
        <v>0</v>
      </c>
      <c r="AS99" s="11">
        <f t="shared" si="34"/>
        <v>0</v>
      </c>
      <c r="AT99" s="11">
        <f t="shared" si="34"/>
        <v>0</v>
      </c>
      <c r="AU99" s="11">
        <f t="shared" si="34"/>
        <v>29747706</v>
      </c>
      <c r="AV99" s="11">
        <f t="shared" si="34"/>
        <v>0</v>
      </c>
      <c r="AW99" s="11">
        <f t="shared" si="34"/>
        <v>380203</v>
      </c>
      <c r="AX99" s="11">
        <f t="shared" si="34"/>
        <v>1756037</v>
      </c>
      <c r="AY99" s="11">
        <f t="shared" si="34"/>
        <v>2063057</v>
      </c>
      <c r="AZ99" s="11">
        <f t="shared" ref="AZ99:BA99" si="35">AZ110-AZ88-AZ77-AZ66-AZ44-AZ33-AZ22-AZ11-AZ55</f>
        <v>0</v>
      </c>
      <c r="BA99" s="11">
        <f t="shared" si="35"/>
        <v>0</v>
      </c>
      <c r="BB99" s="11">
        <f t="shared" si="34"/>
        <v>0</v>
      </c>
      <c r="BC99" s="11">
        <f t="shared" si="34"/>
        <v>0</v>
      </c>
      <c r="BD99" s="11">
        <f t="shared" si="34"/>
        <v>0</v>
      </c>
      <c r="BE99" s="11">
        <f t="shared" si="34"/>
        <v>0</v>
      </c>
      <c r="BF99" s="11">
        <f t="shared" si="34"/>
        <v>3402991</v>
      </c>
      <c r="BG99" s="11">
        <f t="shared" si="34"/>
        <v>3063547</v>
      </c>
      <c r="BH99" s="11">
        <f t="shared" si="34"/>
        <v>181488</v>
      </c>
      <c r="BI99" s="11">
        <f t="shared" si="34"/>
        <v>172467</v>
      </c>
      <c r="BJ99" s="11">
        <f t="shared" si="34"/>
        <v>4671571</v>
      </c>
      <c r="BK99" s="11">
        <f t="shared" si="34"/>
        <v>4056636</v>
      </c>
      <c r="BL99" s="11">
        <f t="shared" si="34"/>
        <v>2</v>
      </c>
      <c r="BM99" s="11">
        <f t="shared" si="34"/>
        <v>5192749</v>
      </c>
      <c r="BN99" s="11">
        <f t="shared" si="34"/>
        <v>5547194</v>
      </c>
      <c r="BO99" s="11">
        <f t="shared" si="34"/>
        <v>6070687</v>
      </c>
      <c r="BP99" s="11">
        <f t="shared" si="34"/>
        <v>0</v>
      </c>
      <c r="BQ99" s="11">
        <f t="shared" si="34"/>
        <v>8202029</v>
      </c>
      <c r="BR99" s="99">
        <f t="shared" si="22"/>
        <v>17680214.902000003</v>
      </c>
      <c r="BS99" s="99">
        <f t="shared" si="23"/>
        <v>165395201.898</v>
      </c>
    </row>
    <row r="100" spans="1:71" x14ac:dyDescent="0.25">
      <c r="A100" s="28" t="s">
        <v>287</v>
      </c>
      <c r="B100" s="11">
        <f>B111-B89-B78-B67-B56-B45-B34-B23-B12</f>
        <v>0</v>
      </c>
      <c r="C100" s="11">
        <f t="shared" ref="C100:AI100" si="36">C111-C89-C78-C67-C56-C45-C34-C23-C12</f>
        <v>0</v>
      </c>
      <c r="D100" s="11">
        <f t="shared" si="36"/>
        <v>0</v>
      </c>
      <c r="E100" s="11">
        <f t="shared" si="36"/>
        <v>0</v>
      </c>
      <c r="F100" s="11">
        <f t="shared" si="36"/>
        <v>16516665</v>
      </c>
      <c r="G100" s="11">
        <f t="shared" si="36"/>
        <v>16432643</v>
      </c>
      <c r="H100" s="11">
        <f t="shared" si="36"/>
        <v>52037</v>
      </c>
      <c r="I100" s="11">
        <f t="shared" si="36"/>
        <v>92824</v>
      </c>
      <c r="J100" s="11">
        <f t="shared" si="36"/>
        <v>2688692</v>
      </c>
      <c r="K100" s="11">
        <f t="shared" si="36"/>
        <v>3932326</v>
      </c>
      <c r="L100" s="11">
        <f t="shared" si="36"/>
        <v>300580</v>
      </c>
      <c r="M100" s="11">
        <f t="shared" si="36"/>
        <v>282782</v>
      </c>
      <c r="N100" s="11">
        <f t="shared" si="36"/>
        <v>44833</v>
      </c>
      <c r="O100" s="11">
        <f t="shared" si="36"/>
        <v>161601</v>
      </c>
      <c r="P100" s="11">
        <f t="shared" si="36"/>
        <v>-1</v>
      </c>
      <c r="Q100" s="11">
        <f t="shared" si="36"/>
        <v>0</v>
      </c>
      <c r="R100" s="11">
        <f t="shared" si="36"/>
        <v>4712</v>
      </c>
      <c r="S100" s="11">
        <f t="shared" si="36"/>
        <v>6229</v>
      </c>
      <c r="T100" s="11">
        <f t="shared" si="36"/>
        <v>6</v>
      </c>
      <c r="U100" s="11">
        <f t="shared" si="36"/>
        <v>403</v>
      </c>
      <c r="V100" s="11">
        <f t="shared" si="36"/>
        <v>455289.13</v>
      </c>
      <c r="W100" s="11">
        <f t="shared" si="36"/>
        <v>1904848.79</v>
      </c>
      <c r="X100" s="11">
        <f t="shared" si="36"/>
        <v>428676</v>
      </c>
      <c r="Y100" s="11">
        <f t="shared" si="36"/>
        <v>701264</v>
      </c>
      <c r="Z100" s="11">
        <f t="shared" si="36"/>
        <v>17702</v>
      </c>
      <c r="AA100" s="11">
        <f t="shared" si="36"/>
        <v>25957</v>
      </c>
      <c r="AB100" s="11">
        <f t="shared" si="36"/>
        <v>2075895</v>
      </c>
      <c r="AC100" s="11">
        <f t="shared" si="36"/>
        <v>2482871</v>
      </c>
      <c r="AD100" s="11">
        <f t="shared" si="36"/>
        <v>490939</v>
      </c>
      <c r="AE100" s="11">
        <f t="shared" si="36"/>
        <v>1033308</v>
      </c>
      <c r="AF100" s="11">
        <f t="shared" si="36"/>
        <v>1169903</v>
      </c>
      <c r="AG100" s="11">
        <f t="shared" si="36"/>
        <v>1353352</v>
      </c>
      <c r="AH100" s="11">
        <f t="shared" si="36"/>
        <v>6300</v>
      </c>
      <c r="AI100" s="11">
        <f t="shared" si="36"/>
        <v>8336</v>
      </c>
      <c r="AJ100" s="11">
        <f t="shared" ref="AJ100:BQ100" si="37">AJ111-AJ89-AJ78-AJ67-AJ56-AJ45-AJ34-AJ23-AJ12</f>
        <v>48848</v>
      </c>
      <c r="AK100" s="11">
        <f t="shared" si="37"/>
        <v>111839</v>
      </c>
      <c r="AL100" s="11">
        <f t="shared" si="37"/>
        <v>2187</v>
      </c>
      <c r="AM100" s="11">
        <f t="shared" si="37"/>
        <v>5059</v>
      </c>
      <c r="AN100" s="11">
        <f t="shared" si="37"/>
        <v>1</v>
      </c>
      <c r="AO100" s="11">
        <f t="shared" si="37"/>
        <v>0</v>
      </c>
      <c r="AP100" s="11">
        <f t="shared" si="37"/>
        <v>2327213.5009683138</v>
      </c>
      <c r="AQ100" s="11">
        <f t="shared" si="37"/>
        <v>2268854.9499683818</v>
      </c>
      <c r="AR100" s="11">
        <f t="shared" si="37"/>
        <v>4510112</v>
      </c>
      <c r="AS100" s="11">
        <f t="shared" si="37"/>
        <v>6644158</v>
      </c>
      <c r="AT100" s="11">
        <f t="shared" si="37"/>
        <v>1636476</v>
      </c>
      <c r="AU100" s="11">
        <f t="shared" si="37"/>
        <v>3348414</v>
      </c>
      <c r="AV100" s="11">
        <f t="shared" si="37"/>
        <v>19674</v>
      </c>
      <c r="AW100" s="11">
        <f t="shared" si="37"/>
        <v>31285</v>
      </c>
      <c r="AX100" s="11">
        <f t="shared" si="37"/>
        <v>1367001</v>
      </c>
      <c r="AY100" s="11">
        <f t="shared" si="37"/>
        <v>1651178</v>
      </c>
      <c r="AZ100" s="11">
        <f t="shared" ref="AZ100:BA100" si="38">AZ111-AZ89-AZ78-AZ67-AZ56-AZ45-AZ34-AZ23-AZ12</f>
        <v>0</v>
      </c>
      <c r="BA100" s="11">
        <f t="shared" si="38"/>
        <v>0</v>
      </c>
      <c r="BB100" s="11">
        <f t="shared" si="37"/>
        <v>0</v>
      </c>
      <c r="BC100" s="11">
        <f t="shared" si="37"/>
        <v>0</v>
      </c>
      <c r="BD100" s="11">
        <f t="shared" si="37"/>
        <v>533447</v>
      </c>
      <c r="BE100" s="11">
        <f t="shared" si="37"/>
        <v>557444</v>
      </c>
      <c r="BF100" s="11">
        <f t="shared" si="37"/>
        <v>1737245</v>
      </c>
      <c r="BG100" s="11">
        <f t="shared" si="37"/>
        <v>2585142</v>
      </c>
      <c r="BH100" s="11">
        <f t="shared" si="37"/>
        <v>922</v>
      </c>
      <c r="BI100" s="11">
        <f t="shared" si="37"/>
        <v>25445</v>
      </c>
      <c r="BJ100" s="11">
        <f t="shared" si="37"/>
        <v>7798544</v>
      </c>
      <c r="BK100" s="11">
        <f t="shared" si="37"/>
        <v>14489450</v>
      </c>
      <c r="BL100" s="11">
        <f t="shared" si="37"/>
        <v>335174</v>
      </c>
      <c r="BM100" s="11">
        <f t="shared" si="37"/>
        <v>2390272</v>
      </c>
      <c r="BN100" s="11">
        <f t="shared" si="37"/>
        <v>2103187</v>
      </c>
      <c r="BO100" s="11">
        <f t="shared" si="37"/>
        <v>2834141</v>
      </c>
      <c r="BP100" s="11">
        <f t="shared" si="37"/>
        <v>309177</v>
      </c>
      <c r="BQ100" s="11">
        <f t="shared" si="37"/>
        <v>1918511</v>
      </c>
      <c r="BR100" s="99">
        <f>SUM(B100+D100+F100+H100+J100+L100+N100+P100+R100+T100+V100+X100+Z100+AB100+AD100+AF100+AH100+AJ100+AL100+AN100+AP100+AR100+AT100+AV100+AX100+AZ100+BB100+BD100+BF100+BH100+BJ100+BL100+BN100+BP100)</f>
        <v>46981436.630968317</v>
      </c>
      <c r="BS100" s="99">
        <f>SUM(C100+E100+G100+I100+K100+M100+O100+Q100+S100+U100+W100+Y100+AA100+AC100+AE100+AG100+AI100+AK100+AM100+AO100+AQ100+AS100+AU100+AW100+AY100+BA100+BC100+BE100+BG100+BI100+BK100+BM100+BO100+BQ100)</f>
        <v>67279937.739968389</v>
      </c>
    </row>
    <row r="101" spans="1:71" x14ac:dyDescent="0.25">
      <c r="A101" s="19"/>
    </row>
    <row r="102" spans="1:71" x14ac:dyDescent="0.25">
      <c r="A102" s="35" t="s">
        <v>56</v>
      </c>
    </row>
    <row r="103" spans="1:71" x14ac:dyDescent="0.25">
      <c r="A103" s="4" t="s">
        <v>0</v>
      </c>
      <c r="B103" s="105" t="s">
        <v>1</v>
      </c>
      <c r="C103" s="106"/>
      <c r="D103" s="105" t="s">
        <v>2</v>
      </c>
      <c r="E103" s="106"/>
      <c r="F103" s="105" t="s">
        <v>3</v>
      </c>
      <c r="G103" s="106"/>
      <c r="H103" s="105" t="s">
        <v>4</v>
      </c>
      <c r="I103" s="106"/>
      <c r="J103" s="105" t="s">
        <v>5</v>
      </c>
      <c r="K103" s="106"/>
      <c r="L103" s="105" t="s">
        <v>6</v>
      </c>
      <c r="M103" s="106"/>
      <c r="N103" s="105" t="s">
        <v>7</v>
      </c>
      <c r="O103" s="106"/>
      <c r="P103" s="105" t="s">
        <v>8</v>
      </c>
      <c r="Q103" s="106"/>
      <c r="R103" s="105" t="s">
        <v>9</v>
      </c>
      <c r="S103" s="106"/>
      <c r="T103" s="105" t="s">
        <v>10</v>
      </c>
      <c r="U103" s="106"/>
      <c r="V103" s="105" t="s">
        <v>11</v>
      </c>
      <c r="W103" s="106"/>
      <c r="X103" s="105" t="s">
        <v>12</v>
      </c>
      <c r="Y103" s="106"/>
      <c r="Z103" s="105" t="s">
        <v>13</v>
      </c>
      <c r="AA103" s="106"/>
      <c r="AB103" s="105" t="s">
        <v>14</v>
      </c>
      <c r="AC103" s="106"/>
      <c r="AD103" s="105" t="s">
        <v>15</v>
      </c>
      <c r="AE103" s="106"/>
      <c r="AF103" s="105" t="s">
        <v>16</v>
      </c>
      <c r="AG103" s="106"/>
      <c r="AH103" s="105" t="s">
        <v>17</v>
      </c>
      <c r="AI103" s="106"/>
      <c r="AJ103" s="105" t="s">
        <v>18</v>
      </c>
      <c r="AK103" s="106"/>
      <c r="AL103" s="105" t="s">
        <v>19</v>
      </c>
      <c r="AM103" s="106"/>
      <c r="AN103" s="105" t="s">
        <v>20</v>
      </c>
      <c r="AO103" s="106"/>
      <c r="AP103" s="105" t="s">
        <v>21</v>
      </c>
      <c r="AQ103" s="106"/>
      <c r="AR103" s="105" t="s">
        <v>22</v>
      </c>
      <c r="AS103" s="106"/>
      <c r="AT103" s="105" t="s">
        <v>23</v>
      </c>
      <c r="AU103" s="106"/>
      <c r="AV103" s="105" t="s">
        <v>24</v>
      </c>
      <c r="AW103" s="106"/>
      <c r="AX103" s="105" t="s">
        <v>25</v>
      </c>
      <c r="AY103" s="106"/>
      <c r="AZ103" s="105" t="s">
        <v>26</v>
      </c>
      <c r="BA103" s="106"/>
      <c r="BB103" s="105" t="s">
        <v>27</v>
      </c>
      <c r="BC103" s="106"/>
      <c r="BD103" s="105" t="s">
        <v>28</v>
      </c>
      <c r="BE103" s="106"/>
      <c r="BF103" s="105" t="s">
        <v>29</v>
      </c>
      <c r="BG103" s="106"/>
      <c r="BH103" s="105" t="s">
        <v>30</v>
      </c>
      <c r="BI103" s="106"/>
      <c r="BJ103" s="105" t="s">
        <v>31</v>
      </c>
      <c r="BK103" s="106"/>
      <c r="BL103" s="105" t="s">
        <v>32</v>
      </c>
      <c r="BM103" s="106"/>
      <c r="BN103" s="109" t="s">
        <v>33</v>
      </c>
      <c r="BO103" s="110"/>
      <c r="BP103" s="105" t="s">
        <v>34</v>
      </c>
      <c r="BQ103" s="106"/>
      <c r="BR103" s="107" t="s">
        <v>35</v>
      </c>
      <c r="BS103" s="108"/>
    </row>
    <row r="104" spans="1:71" ht="30" x14ac:dyDescent="0.25">
      <c r="A104" s="4"/>
      <c r="B104" s="76" t="s">
        <v>295</v>
      </c>
      <c r="C104" s="77" t="s">
        <v>296</v>
      </c>
      <c r="D104" s="76" t="s">
        <v>295</v>
      </c>
      <c r="E104" s="77" t="s">
        <v>296</v>
      </c>
      <c r="F104" s="76" t="s">
        <v>295</v>
      </c>
      <c r="G104" s="77" t="s">
        <v>296</v>
      </c>
      <c r="H104" s="76" t="s">
        <v>295</v>
      </c>
      <c r="I104" s="77" t="s">
        <v>296</v>
      </c>
      <c r="J104" s="76" t="s">
        <v>295</v>
      </c>
      <c r="K104" s="77" t="s">
        <v>296</v>
      </c>
      <c r="L104" s="76" t="s">
        <v>295</v>
      </c>
      <c r="M104" s="77" t="s">
        <v>296</v>
      </c>
      <c r="N104" s="76" t="s">
        <v>295</v>
      </c>
      <c r="O104" s="77" t="s">
        <v>296</v>
      </c>
      <c r="P104" s="76" t="s">
        <v>295</v>
      </c>
      <c r="Q104" s="77" t="s">
        <v>296</v>
      </c>
      <c r="R104" s="76" t="s">
        <v>295</v>
      </c>
      <c r="S104" s="77" t="s">
        <v>296</v>
      </c>
      <c r="T104" s="76" t="s">
        <v>295</v>
      </c>
      <c r="U104" s="77" t="s">
        <v>296</v>
      </c>
      <c r="V104" s="76" t="s">
        <v>295</v>
      </c>
      <c r="W104" s="77" t="s">
        <v>296</v>
      </c>
      <c r="X104" s="76" t="s">
        <v>295</v>
      </c>
      <c r="Y104" s="77" t="s">
        <v>296</v>
      </c>
      <c r="Z104" s="76" t="s">
        <v>295</v>
      </c>
      <c r="AA104" s="77" t="s">
        <v>296</v>
      </c>
      <c r="AB104" s="76" t="s">
        <v>295</v>
      </c>
      <c r="AC104" s="77" t="s">
        <v>296</v>
      </c>
      <c r="AD104" s="76" t="s">
        <v>295</v>
      </c>
      <c r="AE104" s="77" t="s">
        <v>296</v>
      </c>
      <c r="AF104" s="76" t="s">
        <v>295</v>
      </c>
      <c r="AG104" s="77" t="s">
        <v>296</v>
      </c>
      <c r="AH104" s="76" t="s">
        <v>295</v>
      </c>
      <c r="AI104" s="77" t="s">
        <v>296</v>
      </c>
      <c r="AJ104" s="76" t="s">
        <v>295</v>
      </c>
      <c r="AK104" s="77" t="s">
        <v>296</v>
      </c>
      <c r="AL104" s="76" t="s">
        <v>295</v>
      </c>
      <c r="AM104" s="77" t="s">
        <v>296</v>
      </c>
      <c r="AN104" s="76" t="s">
        <v>295</v>
      </c>
      <c r="AO104" s="77" t="s">
        <v>296</v>
      </c>
      <c r="AP104" s="76" t="s">
        <v>295</v>
      </c>
      <c r="AQ104" s="77" t="s">
        <v>296</v>
      </c>
      <c r="AR104" s="76" t="s">
        <v>295</v>
      </c>
      <c r="AS104" s="77" t="s">
        <v>296</v>
      </c>
      <c r="AT104" s="76" t="s">
        <v>295</v>
      </c>
      <c r="AU104" s="77" t="s">
        <v>296</v>
      </c>
      <c r="AV104" s="76" t="s">
        <v>295</v>
      </c>
      <c r="AW104" s="77" t="s">
        <v>296</v>
      </c>
      <c r="AX104" s="76" t="s">
        <v>295</v>
      </c>
      <c r="AY104" s="77" t="s">
        <v>296</v>
      </c>
      <c r="AZ104" s="76" t="s">
        <v>295</v>
      </c>
      <c r="BA104" s="77" t="s">
        <v>296</v>
      </c>
      <c r="BB104" s="76" t="s">
        <v>295</v>
      </c>
      <c r="BC104" s="77" t="s">
        <v>296</v>
      </c>
      <c r="BD104" s="76" t="s">
        <v>295</v>
      </c>
      <c r="BE104" s="77" t="s">
        <v>296</v>
      </c>
      <c r="BF104" s="76" t="s">
        <v>295</v>
      </c>
      <c r="BG104" s="77" t="s">
        <v>296</v>
      </c>
      <c r="BH104" s="76" t="s">
        <v>295</v>
      </c>
      <c r="BI104" s="77" t="s">
        <v>296</v>
      </c>
      <c r="BJ104" s="76" t="s">
        <v>295</v>
      </c>
      <c r="BK104" s="77" t="s">
        <v>296</v>
      </c>
      <c r="BL104" s="76" t="s">
        <v>295</v>
      </c>
      <c r="BM104" s="77" t="s">
        <v>296</v>
      </c>
      <c r="BN104" s="76" t="s">
        <v>295</v>
      </c>
      <c r="BO104" s="77" t="s">
        <v>296</v>
      </c>
      <c r="BP104" s="76" t="s">
        <v>295</v>
      </c>
      <c r="BQ104" s="77" t="s">
        <v>296</v>
      </c>
      <c r="BR104" s="95" t="s">
        <v>295</v>
      </c>
      <c r="BS104" s="96" t="s">
        <v>296</v>
      </c>
    </row>
    <row r="105" spans="1:71" x14ac:dyDescent="0.25">
      <c r="A105" s="28" t="s">
        <v>242</v>
      </c>
      <c r="B105" s="11">
        <v>261541</v>
      </c>
      <c r="C105" s="11">
        <v>433563</v>
      </c>
      <c r="D105" s="11">
        <v>796881</v>
      </c>
      <c r="E105" s="11">
        <v>1362623</v>
      </c>
      <c r="F105" s="11">
        <v>20907668</v>
      </c>
      <c r="G105" s="11">
        <v>29804691</v>
      </c>
      <c r="H105" s="11">
        <v>3758688</v>
      </c>
      <c r="I105" s="11">
        <v>7185296</v>
      </c>
      <c r="J105" s="11">
        <v>18381942</v>
      </c>
      <c r="K105" s="11">
        <v>30822731</v>
      </c>
      <c r="L105" s="11">
        <v>3230220</v>
      </c>
      <c r="M105" s="11">
        <v>6631398</v>
      </c>
      <c r="N105" s="11">
        <v>6756360</v>
      </c>
      <c r="O105" s="11">
        <v>11721543</v>
      </c>
      <c r="P105" s="11">
        <v>770896</v>
      </c>
      <c r="Q105" s="11">
        <v>1422348</v>
      </c>
      <c r="R105" s="11">
        <v>113220</v>
      </c>
      <c r="S105" s="11">
        <v>196720</v>
      </c>
      <c r="T105" s="11">
        <v>191986</v>
      </c>
      <c r="U105" s="11">
        <v>215750</v>
      </c>
      <c r="V105" s="11">
        <v>1050206.3799999999</v>
      </c>
      <c r="W105" s="11">
        <v>1407396.77</v>
      </c>
      <c r="X105" s="11">
        <v>3350651</v>
      </c>
      <c r="Y105" s="11">
        <v>5713751</v>
      </c>
      <c r="Z105" s="11">
        <v>656570</v>
      </c>
      <c r="AA105" s="11">
        <v>1054236</v>
      </c>
      <c r="AB105" s="11">
        <v>11766291</v>
      </c>
      <c r="AC105" s="11">
        <v>19977292</v>
      </c>
      <c r="AD105" s="11">
        <v>19495877</v>
      </c>
      <c r="AE105" s="11">
        <v>34799925</v>
      </c>
      <c r="AF105" s="11">
        <v>12433334</v>
      </c>
      <c r="AG105" s="11">
        <v>23947568</v>
      </c>
      <c r="AH105" s="11">
        <v>268094</v>
      </c>
      <c r="AI105" s="11">
        <v>500672</v>
      </c>
      <c r="AJ105" s="11">
        <v>1492709</v>
      </c>
      <c r="AK105" s="11">
        <v>2835562</v>
      </c>
      <c r="AL105" s="11">
        <v>955266</v>
      </c>
      <c r="AM105" s="11">
        <v>1502489</v>
      </c>
      <c r="AN105" s="11">
        <v>1139655</v>
      </c>
      <c r="AO105" s="11">
        <v>2143403</v>
      </c>
      <c r="AP105" s="11">
        <v>30793196.576999996</v>
      </c>
      <c r="AQ105" s="11">
        <v>57899122.023999996</v>
      </c>
      <c r="AR105" s="11">
        <v>57807164</v>
      </c>
      <c r="AS105" s="11">
        <v>102691932</v>
      </c>
      <c r="AT105" s="11">
        <v>33304820</v>
      </c>
      <c r="AU105" s="11">
        <v>66333841</v>
      </c>
      <c r="AV105" s="11">
        <v>37709</v>
      </c>
      <c r="AW105" s="11">
        <v>61137</v>
      </c>
      <c r="AX105" s="11">
        <v>11138301</v>
      </c>
      <c r="AY105" s="11">
        <v>19463197</v>
      </c>
      <c r="AZ105" s="11">
        <v>2886</v>
      </c>
      <c r="BA105" s="11">
        <v>4240</v>
      </c>
      <c r="BB105" s="11">
        <v>3306882</v>
      </c>
      <c r="BC105" s="11">
        <v>6228088</v>
      </c>
      <c r="BD105" s="11">
        <v>5163011</v>
      </c>
      <c r="BE105" s="11">
        <v>10977267</v>
      </c>
      <c r="BF105" s="11">
        <v>7142389</v>
      </c>
      <c r="BG105" s="11">
        <v>12519091</v>
      </c>
      <c r="BH105" s="11">
        <v>3201770</v>
      </c>
      <c r="BI105" s="11">
        <v>5390546</v>
      </c>
      <c r="BJ105" s="11">
        <v>9543016</v>
      </c>
      <c r="BK105" s="11">
        <v>17696036</v>
      </c>
      <c r="BL105" s="11">
        <v>7627379</v>
      </c>
      <c r="BM105" s="11">
        <v>14456274</v>
      </c>
      <c r="BN105" s="11">
        <v>34589092</v>
      </c>
      <c r="BO105" s="11">
        <v>62928081</v>
      </c>
      <c r="BP105" s="11">
        <v>2662367</v>
      </c>
      <c r="BQ105" s="11">
        <v>5898731</v>
      </c>
      <c r="BR105" s="99">
        <f>SUM(B105+D105+F105+H105+J105+L105+N105+P105+R105+T105+V105+X105+Z105+AB105+AD105+AF105+AH105+AJ105+AL105+AN105+AP105+AR105+AT105+AV105+AX105+AZ105+BB105+BD105+BF105+BH105+BJ105+BL105+BN105+BP105)</f>
        <v>314098037.95700002</v>
      </c>
      <c r="BS105" s="99">
        <f>SUM(C105+E105+G105+I105+K105+M105+O105+Q105+S105+U105+W105+Y105+AA105+AC105+AE105+AG105+AI105+AK105+AM105+AO105+AQ105+AS105+AU105+AW105+AY105+BA105+BC105+BE105+BG105+BI105+BK105+BM105+BO105+BQ105)</f>
        <v>566226540.79399991</v>
      </c>
    </row>
    <row r="106" spans="1:71" x14ac:dyDescent="0.25">
      <c r="A106" s="28" t="s">
        <v>290</v>
      </c>
      <c r="B106" s="11"/>
      <c r="C106" s="11"/>
      <c r="D106" s="11"/>
      <c r="E106" s="11"/>
      <c r="F106" s="11">
        <v>5779</v>
      </c>
      <c r="G106" s="11">
        <v>5779</v>
      </c>
      <c r="H106" s="11"/>
      <c r="I106" s="11">
        <v>284</v>
      </c>
      <c r="J106" s="11">
        <v>28731</v>
      </c>
      <c r="K106" s="11">
        <v>37690</v>
      </c>
      <c r="L106" s="11">
        <v>27496</v>
      </c>
      <c r="M106" s="11">
        <v>30824</v>
      </c>
      <c r="N106" s="11">
        <v>-19</v>
      </c>
      <c r="O106" s="11">
        <v>-1138</v>
      </c>
      <c r="P106" s="11">
        <v>614627</v>
      </c>
      <c r="Q106" s="11">
        <v>614627</v>
      </c>
      <c r="R106" s="11"/>
      <c r="S106" s="11"/>
      <c r="T106" s="11">
        <v>5555</v>
      </c>
      <c r="U106" s="11">
        <v>25433</v>
      </c>
      <c r="V106" s="11"/>
      <c r="W106" s="11"/>
      <c r="X106" s="11">
        <v>10556</v>
      </c>
      <c r="Y106" s="11">
        <v>11738</v>
      </c>
      <c r="Z106" s="11">
        <v>610392</v>
      </c>
      <c r="AA106" s="11">
        <v>1033728</v>
      </c>
      <c r="AB106" s="11"/>
      <c r="AC106" s="11"/>
      <c r="AD106" s="11"/>
      <c r="AE106" s="11"/>
      <c r="AF106" s="11">
        <v>6336</v>
      </c>
      <c r="AG106" s="11">
        <v>21334</v>
      </c>
      <c r="AH106" s="11">
        <v>-3</v>
      </c>
      <c r="AI106" s="11">
        <v>48</v>
      </c>
      <c r="AJ106" s="11">
        <v>101</v>
      </c>
      <c r="AK106" s="11">
        <v>5193</v>
      </c>
      <c r="AL106" s="11"/>
      <c r="AM106" s="11"/>
      <c r="AN106" s="11"/>
      <c r="AO106" s="11"/>
      <c r="AP106" s="11">
        <v>323450.26000000007</v>
      </c>
      <c r="AQ106" s="11">
        <v>985889.44900000002</v>
      </c>
      <c r="AR106" s="11"/>
      <c r="AS106" s="11"/>
      <c r="AT106" s="11">
        <v>1696222</v>
      </c>
      <c r="AU106" s="11">
        <v>2576982</v>
      </c>
      <c r="AV106" s="11">
        <v>29</v>
      </c>
      <c r="AW106" s="11">
        <v>1846</v>
      </c>
      <c r="AX106" s="11">
        <v>59555</v>
      </c>
      <c r="AY106" s="11">
        <v>91773</v>
      </c>
      <c r="AZ106" s="11"/>
      <c r="BA106" s="11"/>
      <c r="BB106" s="11">
        <v>29521</v>
      </c>
      <c r="BC106" s="11">
        <v>104533</v>
      </c>
      <c r="BD106" s="11"/>
      <c r="BE106" s="11"/>
      <c r="BF106" s="11">
        <v>76</v>
      </c>
      <c r="BG106" s="11">
        <v>76</v>
      </c>
      <c r="BH106" s="11">
        <v>-7</v>
      </c>
      <c r="BI106" s="11">
        <v>97</v>
      </c>
      <c r="BJ106" s="11"/>
      <c r="BK106" s="11"/>
      <c r="BL106" s="11">
        <v>124996</v>
      </c>
      <c r="BM106" s="11">
        <v>320497</v>
      </c>
      <c r="BN106" s="11">
        <v>276501</v>
      </c>
      <c r="BO106" s="11">
        <v>1470056</v>
      </c>
      <c r="BP106" s="11">
        <v>190</v>
      </c>
      <c r="BQ106" s="11">
        <v>48</v>
      </c>
      <c r="BR106" s="99">
        <f t="shared" ref="BR106:BR110" si="39">SUM(B106+D106+F106+H106+J106+L106+N106+P106+R106+T106+V106+X106+Z106+AB106+AD106+AF106+AH106+AJ106+AL106+AN106+AP106+AR106+AT106+AV106+AX106+AZ106+BB106+BD106+BF106+BH106+BJ106+BL106+BN106+BP106)</f>
        <v>3820084.26</v>
      </c>
      <c r="BS106" s="99">
        <f t="shared" ref="BS106:BS110" si="40">SUM(C106+E106+G106+I106+K106+M106+O106+Q106+S106+U106+W106+Y106+AA106+AC106+AE106+AG106+AI106+AK106+AM106+AO106+AQ106+AS106+AU106+AW106+AY106+BA106+BC106+BE106+BG106+BI106+BK106+BM106+BO106+BQ106)</f>
        <v>7337337.449</v>
      </c>
    </row>
    <row r="107" spans="1:71" x14ac:dyDescent="0.25">
      <c r="A107" s="28" t="s">
        <v>291</v>
      </c>
      <c r="B107" s="11">
        <v>125473</v>
      </c>
      <c r="C107" s="11">
        <v>206052</v>
      </c>
      <c r="D107" s="11">
        <v>105725</v>
      </c>
      <c r="E107" s="11">
        <v>134115</v>
      </c>
      <c r="F107" s="11">
        <v>15660929</v>
      </c>
      <c r="G107" s="11">
        <v>22320345</v>
      </c>
      <c r="H107" s="11">
        <v>537171</v>
      </c>
      <c r="I107" s="11">
        <v>1069028</v>
      </c>
      <c r="J107" s="11">
        <v>7354785</v>
      </c>
      <c r="K107" s="11">
        <v>10986538</v>
      </c>
      <c r="L107" s="11">
        <v>801217</v>
      </c>
      <c r="M107" s="11">
        <v>1873496</v>
      </c>
      <c r="N107" s="11">
        <v>2466924</v>
      </c>
      <c r="O107" s="11">
        <v>4476405</v>
      </c>
      <c r="P107" s="11">
        <v>610263</v>
      </c>
      <c r="Q107" s="11">
        <v>503618</v>
      </c>
      <c r="R107" s="11"/>
      <c r="S107" s="11"/>
      <c r="T107" s="11">
        <v>27798</v>
      </c>
      <c r="U107" s="11">
        <v>-280686</v>
      </c>
      <c r="V107" s="11">
        <v>300606.08000000002</v>
      </c>
      <c r="W107" s="11">
        <v>408594.6</v>
      </c>
      <c r="X107" s="11">
        <v>1017778</v>
      </c>
      <c r="Y107" s="11">
        <v>1637481</v>
      </c>
      <c r="Z107" s="11">
        <v>416856</v>
      </c>
      <c r="AA107" s="11">
        <v>652212</v>
      </c>
      <c r="AB107" s="11"/>
      <c r="AC107" s="11"/>
      <c r="AD107" s="11"/>
      <c r="AE107" s="11"/>
      <c r="AF107" s="11">
        <v>4457382</v>
      </c>
      <c r="AG107" s="11">
        <v>9442423</v>
      </c>
      <c r="AH107" s="11">
        <v>24167</v>
      </c>
      <c r="AI107" s="11">
        <v>61401</v>
      </c>
      <c r="AJ107" s="11">
        <v>122745</v>
      </c>
      <c r="AK107" s="11">
        <v>270637</v>
      </c>
      <c r="AL107" s="11"/>
      <c r="AM107" s="11"/>
      <c r="AN107" s="11">
        <v>150653</v>
      </c>
      <c r="AO107" s="11">
        <v>211200</v>
      </c>
      <c r="AP107" s="11">
        <v>10116203.827</v>
      </c>
      <c r="AQ107" s="11">
        <v>15524239.917000001</v>
      </c>
      <c r="AR107" s="11"/>
      <c r="AS107" s="11"/>
      <c r="AT107" s="11">
        <v>5467973</v>
      </c>
      <c r="AU107" s="11">
        <v>11939362</v>
      </c>
      <c r="AV107" s="11">
        <v>2450</v>
      </c>
      <c r="AW107" s="11">
        <v>3993</v>
      </c>
      <c r="AX107" s="11">
        <v>4478564</v>
      </c>
      <c r="AY107" s="11">
        <v>7309391</v>
      </c>
      <c r="AZ107" s="11">
        <v>1001</v>
      </c>
      <c r="BA107" s="11">
        <v>1380</v>
      </c>
      <c r="BB107" s="11">
        <v>1441616</v>
      </c>
      <c r="BC107" s="11">
        <v>2688902</v>
      </c>
      <c r="BD107" s="11"/>
      <c r="BE107" s="11"/>
      <c r="BF107" s="11">
        <v>2999837</v>
      </c>
      <c r="BG107" s="11">
        <v>5235555</v>
      </c>
      <c r="BH107" s="11">
        <v>264498</v>
      </c>
      <c r="BI107" s="11">
        <v>928077</v>
      </c>
      <c r="BJ107" s="11">
        <v>2415015</v>
      </c>
      <c r="BK107" s="11">
        <v>4492064</v>
      </c>
      <c r="BL107" s="11">
        <v>2394255</v>
      </c>
      <c r="BM107" s="11">
        <v>4773856</v>
      </c>
      <c r="BN107" s="11">
        <v>10286573</v>
      </c>
      <c r="BO107" s="11">
        <v>17072731</v>
      </c>
      <c r="BP107" s="11">
        <v>1026812</v>
      </c>
      <c r="BQ107" s="11">
        <v>2649194</v>
      </c>
      <c r="BR107" s="99">
        <f t="shared" si="39"/>
        <v>75075269.907000005</v>
      </c>
      <c r="BS107" s="99">
        <f t="shared" si="40"/>
        <v>126591604.517</v>
      </c>
    </row>
    <row r="108" spans="1:71" x14ac:dyDescent="0.25">
      <c r="A108" s="28" t="s">
        <v>294</v>
      </c>
      <c r="B108" s="11">
        <v>136068</v>
      </c>
      <c r="C108" s="11">
        <v>227511</v>
      </c>
      <c r="D108" s="11">
        <v>691156</v>
      </c>
      <c r="E108" s="11">
        <v>1228508</v>
      </c>
      <c r="F108" s="11">
        <v>5252518</v>
      </c>
      <c r="G108" s="11">
        <v>7490125</v>
      </c>
      <c r="H108" s="11"/>
      <c r="I108" s="11"/>
      <c r="J108" s="11"/>
      <c r="K108" s="11"/>
      <c r="L108" s="11">
        <v>2456499</v>
      </c>
      <c r="M108" s="11">
        <v>4788727</v>
      </c>
      <c r="N108" s="11"/>
      <c r="O108" s="11"/>
      <c r="P108" s="11">
        <v>775260</v>
      </c>
      <c r="Q108" s="11">
        <v>1533357</v>
      </c>
      <c r="R108" s="11"/>
      <c r="S108" s="11"/>
      <c r="T108" s="11"/>
      <c r="U108" s="11"/>
      <c r="V108" s="11">
        <v>435741.16</v>
      </c>
      <c r="W108" s="11">
        <v>443550.61</v>
      </c>
      <c r="X108" s="11">
        <v>2343429</v>
      </c>
      <c r="Y108" s="11">
        <v>4088008</v>
      </c>
      <c r="Z108" s="11">
        <v>850105</v>
      </c>
      <c r="AA108" s="11">
        <v>1435752</v>
      </c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>
        <v>21000443.009999998</v>
      </c>
      <c r="AQ108" s="11">
        <v>43360771.555999994</v>
      </c>
      <c r="AR108" s="11"/>
      <c r="AS108" s="11"/>
      <c r="AT108" s="11"/>
      <c r="AU108" s="11"/>
      <c r="AV108" s="11"/>
      <c r="AW108" s="11"/>
      <c r="AX108" s="11">
        <v>6719292</v>
      </c>
      <c r="AY108" s="11">
        <v>12245579</v>
      </c>
      <c r="AZ108" s="11">
        <v>1885</v>
      </c>
      <c r="BA108" s="11">
        <v>2860</v>
      </c>
      <c r="BB108" s="11"/>
      <c r="BC108" s="11"/>
      <c r="BD108" s="11"/>
      <c r="BE108" s="11"/>
      <c r="BF108" s="11"/>
      <c r="BG108" s="11"/>
      <c r="BH108" s="11">
        <v>2937265</v>
      </c>
      <c r="BI108" s="11">
        <v>4462565</v>
      </c>
      <c r="BJ108" s="11"/>
      <c r="BK108" s="11"/>
      <c r="BL108" s="11"/>
      <c r="BM108" s="11"/>
      <c r="BN108" s="11"/>
      <c r="BO108" s="11"/>
      <c r="BP108" s="11"/>
      <c r="BQ108" s="11"/>
      <c r="BR108" s="99">
        <f t="shared" si="39"/>
        <v>43599661.170000002</v>
      </c>
      <c r="BS108" s="99">
        <f t="shared" si="40"/>
        <v>81307314.165999994</v>
      </c>
    </row>
    <row r="109" spans="1:71" x14ac:dyDescent="0.25">
      <c r="A109" s="28" t="s">
        <v>293</v>
      </c>
      <c r="B109" s="11">
        <v>526306</v>
      </c>
      <c r="C109" s="11">
        <v>526306</v>
      </c>
      <c r="D109" s="11">
        <v>699243</v>
      </c>
      <c r="E109" s="11">
        <v>699243</v>
      </c>
      <c r="F109" s="11">
        <v>11264147</v>
      </c>
      <c r="G109" s="11">
        <v>35948485</v>
      </c>
      <c r="H109" s="11">
        <v>2794863</v>
      </c>
      <c r="I109" s="11">
        <v>2794863</v>
      </c>
      <c r="J109" s="11">
        <v>4922574</v>
      </c>
      <c r="K109" s="11">
        <v>78748274</v>
      </c>
      <c r="L109" s="11">
        <v>1158660</v>
      </c>
      <c r="M109" s="11">
        <v>22186913</v>
      </c>
      <c r="N109" s="11">
        <v>2305255</v>
      </c>
      <c r="O109" s="11">
        <v>48213898</v>
      </c>
      <c r="P109" s="11"/>
      <c r="Q109" s="11"/>
      <c r="R109" s="11"/>
      <c r="S109" s="11"/>
      <c r="T109" s="11">
        <v>271759</v>
      </c>
      <c r="U109" s="11">
        <v>271759</v>
      </c>
      <c r="V109" s="11">
        <v>19547.97</v>
      </c>
      <c r="W109" s="11">
        <v>60238463.780000001</v>
      </c>
      <c r="X109" s="11">
        <v>20583116</v>
      </c>
      <c r="Y109" s="11">
        <v>20583116</v>
      </c>
      <c r="Z109" s="11">
        <v>1157094</v>
      </c>
      <c r="AA109" s="11">
        <v>5693715</v>
      </c>
      <c r="AB109" s="11"/>
      <c r="AC109" s="11"/>
      <c r="AD109" s="11"/>
      <c r="AE109" s="11"/>
      <c r="AF109" s="11">
        <v>2495225</v>
      </c>
      <c r="AG109" s="11">
        <v>47077146</v>
      </c>
      <c r="AH109" s="11">
        <v>1897787</v>
      </c>
      <c r="AI109" s="11">
        <v>1897787</v>
      </c>
      <c r="AJ109" s="11">
        <v>9659248</v>
      </c>
      <c r="AK109" s="11">
        <v>9659248</v>
      </c>
      <c r="AL109" s="11"/>
      <c r="AM109" s="11"/>
      <c r="AN109" s="11">
        <v>1520890</v>
      </c>
      <c r="AO109" s="11">
        <v>1520890</v>
      </c>
      <c r="AP109" s="11">
        <v>7918399.6027658228</v>
      </c>
      <c r="AQ109" s="11">
        <v>164901382.41976586</v>
      </c>
      <c r="AR109" s="11"/>
      <c r="AS109" s="11"/>
      <c r="AT109" s="11">
        <v>-467038</v>
      </c>
      <c r="AU109" s="11">
        <v>176976194</v>
      </c>
      <c r="AV109" s="11">
        <v>144885</v>
      </c>
      <c r="AW109" s="11">
        <v>1844878</v>
      </c>
      <c r="AX109" s="11">
        <v>51453159</v>
      </c>
      <c r="AY109" s="11">
        <v>51453159</v>
      </c>
      <c r="AZ109" s="11">
        <v>11515</v>
      </c>
      <c r="BA109" s="11">
        <v>11515</v>
      </c>
      <c r="BB109" s="11">
        <v>2351416</v>
      </c>
      <c r="BC109" s="11">
        <v>2351416</v>
      </c>
      <c r="BD109" s="11"/>
      <c r="BE109" s="11"/>
      <c r="BF109" s="11">
        <v>27528931</v>
      </c>
      <c r="BG109" s="11">
        <v>27528931</v>
      </c>
      <c r="BH109" s="11">
        <v>61252170</v>
      </c>
      <c r="BI109" s="11">
        <v>61252170</v>
      </c>
      <c r="BJ109" s="11">
        <v>5342114</v>
      </c>
      <c r="BK109" s="11">
        <v>5342114</v>
      </c>
      <c r="BL109" s="11">
        <v>3839355</v>
      </c>
      <c r="BM109" s="11">
        <v>49212942</v>
      </c>
      <c r="BN109" s="11">
        <v>206711969</v>
      </c>
      <c r="BO109" s="11">
        <v>207208147</v>
      </c>
      <c r="BP109" s="11">
        <v>691208</v>
      </c>
      <c r="BQ109" s="11">
        <v>10383885</v>
      </c>
      <c r="BR109" s="99">
        <f t="shared" si="39"/>
        <v>428053798.57276583</v>
      </c>
      <c r="BS109" s="99">
        <f t="shared" si="40"/>
        <v>1094526840.1997657</v>
      </c>
    </row>
    <row r="110" spans="1:71" x14ac:dyDescent="0.25">
      <c r="A110" s="28" t="s">
        <v>292</v>
      </c>
      <c r="B110" s="11">
        <v>430275</v>
      </c>
      <c r="C110" s="11">
        <v>216698</v>
      </c>
      <c r="D110" s="11">
        <v>647344</v>
      </c>
      <c r="E110" s="11">
        <v>508957</v>
      </c>
      <c r="F110" s="11"/>
      <c r="G110" s="11">
        <v>27005967</v>
      </c>
      <c r="H110" s="11">
        <v>2246420</v>
      </c>
      <c r="I110" s="11">
        <v>2166984</v>
      </c>
      <c r="J110" s="11"/>
      <c r="K110" s="11">
        <v>68470434</v>
      </c>
      <c r="L110" s="11">
        <v>-1</v>
      </c>
      <c r="M110" s="11">
        <v>20331150</v>
      </c>
      <c r="N110" s="11">
        <v>1</v>
      </c>
      <c r="O110" s="11">
        <v>42309553</v>
      </c>
      <c r="P110" s="11">
        <v>38149</v>
      </c>
      <c r="Q110" s="11">
        <v>69366</v>
      </c>
      <c r="R110" s="11"/>
      <c r="S110" s="11"/>
      <c r="T110" s="11">
        <v>224771</v>
      </c>
      <c r="U110" s="11">
        <v>329518</v>
      </c>
      <c r="V110" s="11"/>
      <c r="W110" s="11">
        <v>58777165.600000001</v>
      </c>
      <c r="X110" s="11">
        <v>20377064</v>
      </c>
      <c r="Y110" s="11">
        <v>19467986</v>
      </c>
      <c r="Z110" s="11">
        <v>0</v>
      </c>
      <c r="AA110" s="11">
        <v>3429034</v>
      </c>
      <c r="AB110" s="11"/>
      <c r="AC110" s="11"/>
      <c r="AD110" s="11"/>
      <c r="AE110" s="11"/>
      <c r="AF110" s="11"/>
      <c r="AG110" s="11">
        <v>41759996</v>
      </c>
      <c r="AH110" s="11">
        <v>1638795</v>
      </c>
      <c r="AI110" s="11">
        <v>1382650</v>
      </c>
      <c r="AJ110" s="11">
        <v>8491010</v>
      </c>
      <c r="AK110" s="11">
        <v>8491010</v>
      </c>
      <c r="AL110" s="11"/>
      <c r="AM110" s="11"/>
      <c r="AN110" s="11">
        <v>1292415</v>
      </c>
      <c r="AO110" s="11">
        <v>1132657</v>
      </c>
      <c r="AP110" s="11">
        <v>5.9999785153195262E-3</v>
      </c>
      <c r="AQ110" s="11">
        <v>158763727.19099993</v>
      </c>
      <c r="AR110" s="11"/>
      <c r="AS110" s="11"/>
      <c r="AT110" s="11">
        <v>18162</v>
      </c>
      <c r="AU110" s="11">
        <v>178003899</v>
      </c>
      <c r="AV110" s="11"/>
      <c r="AW110" s="11">
        <v>1488355</v>
      </c>
      <c r="AX110" s="11">
        <v>49057656</v>
      </c>
      <c r="AY110" s="11">
        <v>47707437</v>
      </c>
      <c r="AZ110" s="11">
        <v>5736</v>
      </c>
      <c r="BA110" s="11">
        <v>1817</v>
      </c>
      <c r="BB110" s="11">
        <v>1928047</v>
      </c>
      <c r="BC110" s="11">
        <v>1647587</v>
      </c>
      <c r="BD110" s="11"/>
      <c r="BE110" s="11"/>
      <c r="BF110" s="11">
        <v>26474182</v>
      </c>
      <c r="BG110" s="11">
        <v>24476341</v>
      </c>
      <c r="BH110" s="11">
        <v>60371860</v>
      </c>
      <c r="BI110" s="11">
        <v>57984359</v>
      </c>
      <c r="BJ110" s="11">
        <v>4671571</v>
      </c>
      <c r="BK110" s="11">
        <v>4056636</v>
      </c>
      <c r="BL110" s="11">
        <v>6</v>
      </c>
      <c r="BM110" s="11">
        <v>40006024</v>
      </c>
      <c r="BN110" s="11">
        <v>193946066</v>
      </c>
      <c r="BO110" s="11">
        <v>182761597</v>
      </c>
      <c r="BP110" s="11"/>
      <c r="BQ110" s="11">
        <v>9367099</v>
      </c>
      <c r="BR110" s="99">
        <f t="shared" si="39"/>
        <v>371859529.00599998</v>
      </c>
      <c r="BS110" s="99">
        <f t="shared" si="40"/>
        <v>1002114003.7909999</v>
      </c>
    </row>
    <row r="111" spans="1:71" x14ac:dyDescent="0.25">
      <c r="A111" s="28" t="s">
        <v>287</v>
      </c>
      <c r="B111" s="11">
        <v>232099</v>
      </c>
      <c r="C111" s="11">
        <v>537119</v>
      </c>
      <c r="D111" s="11">
        <v>743055</v>
      </c>
      <c r="E111" s="11">
        <v>1418794</v>
      </c>
      <c r="F111" s="11">
        <v>16516665</v>
      </c>
      <c r="G111" s="11">
        <v>16432643</v>
      </c>
      <c r="H111" s="11">
        <v>3769960</v>
      </c>
      <c r="I111" s="11">
        <v>6744431</v>
      </c>
      <c r="J111" s="11">
        <v>15978462</v>
      </c>
      <c r="K111" s="11">
        <v>30151723</v>
      </c>
      <c r="L111" s="11">
        <v>3615160</v>
      </c>
      <c r="M111" s="11">
        <v>6644487</v>
      </c>
      <c r="N111" s="11">
        <v>6594671</v>
      </c>
      <c r="O111" s="11">
        <v>13148345</v>
      </c>
      <c r="P111" s="11">
        <v>737110</v>
      </c>
      <c r="Q111" s="11">
        <v>1463991</v>
      </c>
      <c r="R111" s="11">
        <v>219411</v>
      </c>
      <c r="S111" s="11">
        <v>270682</v>
      </c>
      <c r="T111" s="11">
        <v>216731</v>
      </c>
      <c r="U111" s="11">
        <v>464110</v>
      </c>
      <c r="V111" s="11">
        <v>455289.13</v>
      </c>
      <c r="W111" s="11">
        <v>1904848.79</v>
      </c>
      <c r="X111" s="11">
        <v>2549480</v>
      </c>
      <c r="Y111" s="11">
        <v>5203138</v>
      </c>
      <c r="Z111" s="11">
        <v>2007199</v>
      </c>
      <c r="AA111" s="11">
        <v>3700433</v>
      </c>
      <c r="AB111" s="11">
        <v>10035880</v>
      </c>
      <c r="AC111" s="11">
        <v>17384378</v>
      </c>
      <c r="AD111" s="11">
        <v>17571115</v>
      </c>
      <c r="AE111" s="11">
        <v>34512209</v>
      </c>
      <c r="AF111" s="11">
        <v>10477513</v>
      </c>
      <c r="AG111" s="11">
        <v>19843629</v>
      </c>
      <c r="AH111" s="11">
        <v>502916</v>
      </c>
      <c r="AI111" s="11">
        <v>954456</v>
      </c>
      <c r="AJ111" s="11">
        <v>2155622</v>
      </c>
      <c r="AK111" s="11">
        <v>4088992</v>
      </c>
      <c r="AL111" s="11">
        <v>1438247</v>
      </c>
      <c r="AM111" s="11">
        <v>2786825</v>
      </c>
      <c r="AN111" s="11">
        <v>1217476</v>
      </c>
      <c r="AO111" s="11">
        <v>2320435</v>
      </c>
      <c r="AP111" s="11">
        <v>28918842.60676584</v>
      </c>
      <c r="AQ111" s="11">
        <v>49498426.784765929</v>
      </c>
      <c r="AR111" s="11">
        <v>61435170</v>
      </c>
      <c r="AS111" s="11">
        <v>104539239</v>
      </c>
      <c r="AT111" s="11">
        <v>29047870</v>
      </c>
      <c r="AU111" s="11">
        <v>55943757</v>
      </c>
      <c r="AV111" s="11">
        <v>180173</v>
      </c>
      <c r="AW111" s="11">
        <v>415513</v>
      </c>
      <c r="AX111" s="11">
        <v>9114795</v>
      </c>
      <c r="AY111" s="11">
        <v>15991301</v>
      </c>
      <c r="AZ111" s="11">
        <v>7664</v>
      </c>
      <c r="BA111" s="11">
        <v>12558</v>
      </c>
      <c r="BB111" s="11">
        <v>2318156</v>
      </c>
      <c r="BC111" s="11">
        <v>4347548</v>
      </c>
      <c r="BD111" s="11">
        <v>5128093</v>
      </c>
      <c r="BE111" s="11">
        <v>9847156</v>
      </c>
      <c r="BF111" s="11">
        <v>5197377</v>
      </c>
      <c r="BG111" s="11">
        <v>10336202</v>
      </c>
      <c r="BH111" s="11">
        <v>3817575</v>
      </c>
      <c r="BI111" s="11">
        <v>7730376</v>
      </c>
      <c r="BJ111" s="11">
        <v>7798544</v>
      </c>
      <c r="BK111" s="11">
        <v>14489450</v>
      </c>
      <c r="BL111" s="11">
        <v>9197469</v>
      </c>
      <c r="BM111" s="11">
        <v>19209833</v>
      </c>
      <c r="BN111" s="11">
        <v>37344923</v>
      </c>
      <c r="BO111" s="11">
        <v>71771956</v>
      </c>
      <c r="BP111" s="11">
        <v>2326953</v>
      </c>
      <c r="BQ111" s="11">
        <v>4266371</v>
      </c>
      <c r="BR111" s="99">
        <f>SUM(B111+D111+F111+H111+J111+L111+N111+P111+R111+T111+V111+X111+Z111+AB111+AD111+AF111+AH111+AJ111+AL111+AN111+AP111+AR111+AT111+AV111+AX111+AZ111+BB111+BD111+BF111+BH111+BJ111+BL111+BN111+BP111)</f>
        <v>298867665.73676586</v>
      </c>
      <c r="BS111" s="99">
        <f>SUM(C111+E111+G111+I111+K111+M111+O111+Q111+S111+U111+W111+Y111+AA111+AC111+AE111+AG111+AI111+AK111+AM111+AO111+AQ111+AS111+AU111+AW111+AY111+BA111+BC111+BE111+BG111+BI111+BK111+BM111+BO111+BQ111)</f>
        <v>538375355.57476592</v>
      </c>
    </row>
  </sheetData>
  <mergeCells count="350">
    <mergeCell ref="BR103:BS103"/>
    <mergeCell ref="AV103:AW103"/>
    <mergeCell ref="AX103:AY103"/>
    <mergeCell ref="AZ103:BA103"/>
    <mergeCell ref="BB103:BC103"/>
    <mergeCell ref="BD103:BE103"/>
    <mergeCell ref="BF103:BG103"/>
    <mergeCell ref="AB103:AC103"/>
    <mergeCell ref="AD103:AE103"/>
    <mergeCell ref="AF103:AG103"/>
    <mergeCell ref="AH103:AI103"/>
    <mergeCell ref="BH103:BI103"/>
    <mergeCell ref="BJ103:BK103"/>
    <mergeCell ref="BL103:BM103"/>
    <mergeCell ref="BN103:BO103"/>
    <mergeCell ref="BP103:BQ103"/>
    <mergeCell ref="L103:M103"/>
    <mergeCell ref="N103:O103"/>
    <mergeCell ref="P103:Q103"/>
    <mergeCell ref="R103:S103"/>
    <mergeCell ref="T103:U103"/>
    <mergeCell ref="V103:W103"/>
    <mergeCell ref="BJ92:BK92"/>
    <mergeCell ref="BL92:BM92"/>
    <mergeCell ref="BN92:BO92"/>
    <mergeCell ref="AJ92:AK92"/>
    <mergeCell ref="N92:O92"/>
    <mergeCell ref="P92:Q92"/>
    <mergeCell ref="R92:S92"/>
    <mergeCell ref="T92:U92"/>
    <mergeCell ref="V92:W92"/>
    <mergeCell ref="X92:Y92"/>
    <mergeCell ref="AJ103:AK103"/>
    <mergeCell ref="AL103:AM103"/>
    <mergeCell ref="AN103:AO103"/>
    <mergeCell ref="AP103:AQ103"/>
    <mergeCell ref="AR103:AS103"/>
    <mergeCell ref="AT103:AU103"/>
    <mergeCell ref="X103:Y103"/>
    <mergeCell ref="Z103:AA103"/>
    <mergeCell ref="BP92:BQ92"/>
    <mergeCell ref="BR92:BS92"/>
    <mergeCell ref="B103:C103"/>
    <mergeCell ref="D103:E103"/>
    <mergeCell ref="F103:G103"/>
    <mergeCell ref="H103:I103"/>
    <mergeCell ref="J103:K103"/>
    <mergeCell ref="AX92:AY92"/>
    <mergeCell ref="AZ92:BA92"/>
    <mergeCell ref="BB92:BC92"/>
    <mergeCell ref="BD92:BE92"/>
    <mergeCell ref="BF92:BG92"/>
    <mergeCell ref="BH92:BI92"/>
    <mergeCell ref="AL92:AM92"/>
    <mergeCell ref="AN92:AO92"/>
    <mergeCell ref="AP92:AQ92"/>
    <mergeCell ref="AR92:AS92"/>
    <mergeCell ref="AT92:AU92"/>
    <mergeCell ref="AV92:AW92"/>
    <mergeCell ref="Z92:AA92"/>
    <mergeCell ref="AB92:AC92"/>
    <mergeCell ref="AD92:AE92"/>
    <mergeCell ref="AF92:AG92"/>
    <mergeCell ref="AH92:AI92"/>
    <mergeCell ref="B92:C92"/>
    <mergeCell ref="D92:E92"/>
    <mergeCell ref="F92:G92"/>
    <mergeCell ref="H92:I92"/>
    <mergeCell ref="J92:K92"/>
    <mergeCell ref="L92:M92"/>
    <mergeCell ref="BH81:BI81"/>
    <mergeCell ref="BJ81:BK81"/>
    <mergeCell ref="BL81:BM81"/>
    <mergeCell ref="AJ81:AK81"/>
    <mergeCell ref="AL81:AM81"/>
    <mergeCell ref="AN81:AO81"/>
    <mergeCell ref="AP81:AQ81"/>
    <mergeCell ref="AR81:AS81"/>
    <mergeCell ref="AT81:AU81"/>
    <mergeCell ref="X81:Y81"/>
    <mergeCell ref="Z81:AA81"/>
    <mergeCell ref="AB81:AC81"/>
    <mergeCell ref="AD81:AE81"/>
    <mergeCell ref="AF81:AG81"/>
    <mergeCell ref="AH81:AI81"/>
    <mergeCell ref="L81:M81"/>
    <mergeCell ref="N81:O81"/>
    <mergeCell ref="P81:Q81"/>
    <mergeCell ref="BN81:BO81"/>
    <mergeCell ref="BP81:BQ81"/>
    <mergeCell ref="BR81:BS81"/>
    <mergeCell ref="AV81:AW81"/>
    <mergeCell ref="AX81:AY81"/>
    <mergeCell ref="AZ81:BA81"/>
    <mergeCell ref="BB81:BC81"/>
    <mergeCell ref="BD81:BE81"/>
    <mergeCell ref="BF81:BG81"/>
    <mergeCell ref="R81:S81"/>
    <mergeCell ref="T81:U81"/>
    <mergeCell ref="V81:W81"/>
    <mergeCell ref="BJ70:BK70"/>
    <mergeCell ref="BL70:BM70"/>
    <mergeCell ref="BN70:BO70"/>
    <mergeCell ref="BP70:BQ70"/>
    <mergeCell ref="BR70:BS70"/>
    <mergeCell ref="B81:C81"/>
    <mergeCell ref="D81:E81"/>
    <mergeCell ref="F81:G81"/>
    <mergeCell ref="H81:I81"/>
    <mergeCell ref="J81:K81"/>
    <mergeCell ref="AX70:AY70"/>
    <mergeCell ref="AZ70:BA70"/>
    <mergeCell ref="BB70:BC70"/>
    <mergeCell ref="BD70:BE70"/>
    <mergeCell ref="BF70:BG70"/>
    <mergeCell ref="BH70:BI70"/>
    <mergeCell ref="AL70:AM70"/>
    <mergeCell ref="AN70:AO70"/>
    <mergeCell ref="AP70:AQ70"/>
    <mergeCell ref="AR70:AS70"/>
    <mergeCell ref="AT70:AU70"/>
    <mergeCell ref="AV70:AW70"/>
    <mergeCell ref="Z70:AA70"/>
    <mergeCell ref="AB70:AC70"/>
    <mergeCell ref="AD70:AE70"/>
    <mergeCell ref="AF70:AG70"/>
    <mergeCell ref="AH70:AI70"/>
    <mergeCell ref="AJ70:AK70"/>
    <mergeCell ref="N70:O70"/>
    <mergeCell ref="P70:Q70"/>
    <mergeCell ref="R70:S70"/>
    <mergeCell ref="T70:U70"/>
    <mergeCell ref="V70:W70"/>
    <mergeCell ref="X70:Y70"/>
    <mergeCell ref="B70:C70"/>
    <mergeCell ref="D70:E70"/>
    <mergeCell ref="F70:G70"/>
    <mergeCell ref="H70:I70"/>
    <mergeCell ref="J70:K70"/>
    <mergeCell ref="L70:M70"/>
    <mergeCell ref="BH59:BI59"/>
    <mergeCell ref="BJ59:BK59"/>
    <mergeCell ref="BL59:BM59"/>
    <mergeCell ref="AJ59:AK59"/>
    <mergeCell ref="AL59:AM59"/>
    <mergeCell ref="AN59:AO59"/>
    <mergeCell ref="AP59:AQ59"/>
    <mergeCell ref="AR59:AS59"/>
    <mergeCell ref="AT59:AU59"/>
    <mergeCell ref="X59:Y59"/>
    <mergeCell ref="Z59:AA59"/>
    <mergeCell ref="AB59:AC59"/>
    <mergeCell ref="AD59:AE59"/>
    <mergeCell ref="AF59:AG59"/>
    <mergeCell ref="AH59:AI59"/>
    <mergeCell ref="L59:M59"/>
    <mergeCell ref="N59:O59"/>
    <mergeCell ref="P59:Q59"/>
    <mergeCell ref="BN59:BO59"/>
    <mergeCell ref="BP59:BQ59"/>
    <mergeCell ref="BR59:BS59"/>
    <mergeCell ref="AV59:AW59"/>
    <mergeCell ref="AX59:AY59"/>
    <mergeCell ref="AZ59:BA59"/>
    <mergeCell ref="BB59:BC59"/>
    <mergeCell ref="BD59:BE59"/>
    <mergeCell ref="BF59:BG59"/>
    <mergeCell ref="R59:S59"/>
    <mergeCell ref="T59:U59"/>
    <mergeCell ref="V59:W59"/>
    <mergeCell ref="BJ48:BK48"/>
    <mergeCell ref="BL48:BM48"/>
    <mergeCell ref="BN48:BO48"/>
    <mergeCell ref="BP48:BQ48"/>
    <mergeCell ref="BR48:BS48"/>
    <mergeCell ref="B59:C59"/>
    <mergeCell ref="D59:E59"/>
    <mergeCell ref="F59:G59"/>
    <mergeCell ref="H59:I59"/>
    <mergeCell ref="J59:K59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48:C48"/>
    <mergeCell ref="D48:E48"/>
    <mergeCell ref="F48:G48"/>
    <mergeCell ref="H48:I48"/>
    <mergeCell ref="J48:K48"/>
    <mergeCell ref="L48:M48"/>
    <mergeCell ref="BH37:BI37"/>
    <mergeCell ref="BJ37:BK37"/>
    <mergeCell ref="BL37:BM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R37:S37"/>
    <mergeCell ref="T37:U37"/>
    <mergeCell ref="V37:W37"/>
    <mergeCell ref="BJ26:BK26"/>
    <mergeCell ref="BL26:BM26"/>
    <mergeCell ref="BN26:BO26"/>
    <mergeCell ref="BP26:BQ26"/>
    <mergeCell ref="BR26:BS26"/>
    <mergeCell ref="B37:C37"/>
    <mergeCell ref="D37:E37"/>
    <mergeCell ref="F37:G37"/>
    <mergeCell ref="H37:I37"/>
    <mergeCell ref="J37:K37"/>
    <mergeCell ref="AX26:AY26"/>
    <mergeCell ref="AZ26:BA26"/>
    <mergeCell ref="BB26:BC26"/>
    <mergeCell ref="BD26:BE26"/>
    <mergeCell ref="BF26:BG26"/>
    <mergeCell ref="BH26:BI26"/>
    <mergeCell ref="AL26:AM26"/>
    <mergeCell ref="AN26:AO26"/>
    <mergeCell ref="AP26:AQ26"/>
    <mergeCell ref="AR26:AS26"/>
    <mergeCell ref="AT26:AU26"/>
    <mergeCell ref="AV26:AW26"/>
    <mergeCell ref="Z26:AA26"/>
    <mergeCell ref="AB26:AC26"/>
    <mergeCell ref="AD26:AE26"/>
    <mergeCell ref="AF26:AG26"/>
    <mergeCell ref="AH26:AI26"/>
    <mergeCell ref="AJ26:AK26"/>
    <mergeCell ref="N26:O26"/>
    <mergeCell ref="P26:Q26"/>
    <mergeCell ref="R26:S26"/>
    <mergeCell ref="T26:U26"/>
    <mergeCell ref="V26:W26"/>
    <mergeCell ref="X26:Y26"/>
    <mergeCell ref="B26:C26"/>
    <mergeCell ref="D26:E26"/>
    <mergeCell ref="F26:G26"/>
    <mergeCell ref="H26:I26"/>
    <mergeCell ref="J26:K26"/>
    <mergeCell ref="L26:M26"/>
    <mergeCell ref="BH15:BI15"/>
    <mergeCell ref="BJ15:BK15"/>
    <mergeCell ref="BL15:BM15"/>
    <mergeCell ref="AJ15:AK15"/>
    <mergeCell ref="AL15:AM15"/>
    <mergeCell ref="AN15:AO15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L15:M15"/>
    <mergeCell ref="N15:O15"/>
    <mergeCell ref="P15:Q15"/>
    <mergeCell ref="BN15:BO15"/>
    <mergeCell ref="BP15:BQ15"/>
    <mergeCell ref="BR15:BS15"/>
    <mergeCell ref="AV15:AW15"/>
    <mergeCell ref="AX15:AY15"/>
    <mergeCell ref="AZ15:BA15"/>
    <mergeCell ref="BB15:BC15"/>
    <mergeCell ref="BD15:BE15"/>
    <mergeCell ref="BF15:BG15"/>
    <mergeCell ref="R15:S15"/>
    <mergeCell ref="T15:U15"/>
    <mergeCell ref="V15:W15"/>
    <mergeCell ref="BJ4:BK4"/>
    <mergeCell ref="BL4:BM4"/>
    <mergeCell ref="BN4:BO4"/>
    <mergeCell ref="BP4:BQ4"/>
    <mergeCell ref="BR4:BS4"/>
    <mergeCell ref="B15:C15"/>
    <mergeCell ref="D15:E15"/>
    <mergeCell ref="F15:G15"/>
    <mergeCell ref="H15:I15"/>
    <mergeCell ref="J15:K15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71" width="16" style="8" customWidth="1"/>
    <col min="72" max="16384" width="9.140625" style="8"/>
  </cols>
  <sheetData>
    <row r="1" spans="1:71" ht="18.75" x14ac:dyDescent="0.3">
      <c r="A1" s="10" t="s">
        <v>229</v>
      </c>
    </row>
    <row r="2" spans="1:71" x14ac:dyDescent="0.25">
      <c r="A2" s="30" t="s">
        <v>48</v>
      </c>
    </row>
    <row r="3" spans="1:71" x14ac:dyDescent="0.25">
      <c r="A3" s="31" t="s">
        <v>230</v>
      </c>
    </row>
    <row r="4" spans="1:71" x14ac:dyDescent="0.25">
      <c r="A4" s="4" t="s">
        <v>0</v>
      </c>
      <c r="B4" s="105" t="s">
        <v>1</v>
      </c>
      <c r="C4" s="106"/>
      <c r="D4" s="105" t="s">
        <v>2</v>
      </c>
      <c r="E4" s="106"/>
      <c r="F4" s="105" t="s">
        <v>3</v>
      </c>
      <c r="G4" s="106"/>
      <c r="H4" s="105" t="s">
        <v>4</v>
      </c>
      <c r="I4" s="106"/>
      <c r="J4" s="105" t="s">
        <v>5</v>
      </c>
      <c r="K4" s="106"/>
      <c r="L4" s="105" t="s">
        <v>6</v>
      </c>
      <c r="M4" s="106"/>
      <c r="N4" s="105" t="s">
        <v>7</v>
      </c>
      <c r="O4" s="106"/>
      <c r="P4" s="105" t="s">
        <v>8</v>
      </c>
      <c r="Q4" s="106"/>
      <c r="R4" s="105" t="s">
        <v>9</v>
      </c>
      <c r="S4" s="106"/>
      <c r="T4" s="105" t="s">
        <v>10</v>
      </c>
      <c r="U4" s="106"/>
      <c r="V4" s="105" t="s">
        <v>11</v>
      </c>
      <c r="W4" s="106"/>
      <c r="X4" s="105" t="s">
        <v>12</v>
      </c>
      <c r="Y4" s="106"/>
      <c r="Z4" s="105" t="s">
        <v>13</v>
      </c>
      <c r="AA4" s="106"/>
      <c r="AB4" s="105" t="s">
        <v>14</v>
      </c>
      <c r="AC4" s="106"/>
      <c r="AD4" s="105" t="s">
        <v>15</v>
      </c>
      <c r="AE4" s="106"/>
      <c r="AF4" s="105" t="s">
        <v>16</v>
      </c>
      <c r="AG4" s="106"/>
      <c r="AH4" s="105" t="s">
        <v>17</v>
      </c>
      <c r="AI4" s="106"/>
      <c r="AJ4" s="105" t="s">
        <v>18</v>
      </c>
      <c r="AK4" s="106"/>
      <c r="AL4" s="105" t="s">
        <v>19</v>
      </c>
      <c r="AM4" s="106"/>
      <c r="AN4" s="105" t="s">
        <v>20</v>
      </c>
      <c r="AO4" s="106"/>
      <c r="AP4" s="105" t="s">
        <v>21</v>
      </c>
      <c r="AQ4" s="106"/>
      <c r="AR4" s="105" t="s">
        <v>22</v>
      </c>
      <c r="AS4" s="106"/>
      <c r="AT4" s="105" t="s">
        <v>23</v>
      </c>
      <c r="AU4" s="106"/>
      <c r="AV4" s="105" t="s">
        <v>24</v>
      </c>
      <c r="AW4" s="106"/>
      <c r="AX4" s="105" t="s">
        <v>25</v>
      </c>
      <c r="AY4" s="106"/>
      <c r="AZ4" s="105" t="s">
        <v>26</v>
      </c>
      <c r="BA4" s="106"/>
      <c r="BB4" s="105" t="s">
        <v>27</v>
      </c>
      <c r="BC4" s="106"/>
      <c r="BD4" s="105" t="s">
        <v>28</v>
      </c>
      <c r="BE4" s="106"/>
      <c r="BF4" s="105" t="s">
        <v>29</v>
      </c>
      <c r="BG4" s="106"/>
      <c r="BH4" s="105" t="s">
        <v>30</v>
      </c>
      <c r="BI4" s="106"/>
      <c r="BJ4" s="105" t="s">
        <v>31</v>
      </c>
      <c r="BK4" s="106"/>
      <c r="BL4" s="105" t="s">
        <v>32</v>
      </c>
      <c r="BM4" s="106"/>
      <c r="BN4" s="109" t="s">
        <v>33</v>
      </c>
      <c r="BO4" s="110"/>
      <c r="BP4" s="105" t="s">
        <v>34</v>
      </c>
      <c r="BQ4" s="106"/>
      <c r="BR4" s="107" t="s">
        <v>35</v>
      </c>
      <c r="BS4" s="108"/>
    </row>
    <row r="5" spans="1:71" ht="30" x14ac:dyDescent="0.25">
      <c r="A5" s="4"/>
      <c r="B5" s="76" t="s">
        <v>295</v>
      </c>
      <c r="C5" s="77" t="s">
        <v>296</v>
      </c>
      <c r="D5" s="76" t="s">
        <v>295</v>
      </c>
      <c r="E5" s="77" t="s">
        <v>296</v>
      </c>
      <c r="F5" s="76" t="s">
        <v>295</v>
      </c>
      <c r="G5" s="77" t="s">
        <v>296</v>
      </c>
      <c r="H5" s="76" t="s">
        <v>295</v>
      </c>
      <c r="I5" s="77" t="s">
        <v>296</v>
      </c>
      <c r="J5" s="76" t="s">
        <v>295</v>
      </c>
      <c r="K5" s="77" t="s">
        <v>296</v>
      </c>
      <c r="L5" s="76" t="s">
        <v>295</v>
      </c>
      <c r="M5" s="77" t="s">
        <v>296</v>
      </c>
      <c r="N5" s="76" t="s">
        <v>295</v>
      </c>
      <c r="O5" s="77" t="s">
        <v>296</v>
      </c>
      <c r="P5" s="76" t="s">
        <v>295</v>
      </c>
      <c r="Q5" s="77" t="s">
        <v>296</v>
      </c>
      <c r="R5" s="76" t="s">
        <v>295</v>
      </c>
      <c r="S5" s="77" t="s">
        <v>296</v>
      </c>
      <c r="T5" s="76" t="s">
        <v>295</v>
      </c>
      <c r="U5" s="77" t="s">
        <v>296</v>
      </c>
      <c r="V5" s="76" t="s">
        <v>295</v>
      </c>
      <c r="W5" s="77" t="s">
        <v>296</v>
      </c>
      <c r="X5" s="76" t="s">
        <v>295</v>
      </c>
      <c r="Y5" s="77" t="s">
        <v>296</v>
      </c>
      <c r="Z5" s="76" t="s">
        <v>295</v>
      </c>
      <c r="AA5" s="77" t="s">
        <v>296</v>
      </c>
      <c r="AB5" s="76" t="s">
        <v>295</v>
      </c>
      <c r="AC5" s="77" t="s">
        <v>296</v>
      </c>
      <c r="AD5" s="76" t="s">
        <v>295</v>
      </c>
      <c r="AE5" s="77" t="s">
        <v>296</v>
      </c>
      <c r="AF5" s="76" t="s">
        <v>295</v>
      </c>
      <c r="AG5" s="77" t="s">
        <v>296</v>
      </c>
      <c r="AH5" s="76" t="s">
        <v>295</v>
      </c>
      <c r="AI5" s="77" t="s">
        <v>296</v>
      </c>
      <c r="AJ5" s="76" t="s">
        <v>295</v>
      </c>
      <c r="AK5" s="77" t="s">
        <v>296</v>
      </c>
      <c r="AL5" s="76" t="s">
        <v>295</v>
      </c>
      <c r="AM5" s="77" t="s">
        <v>296</v>
      </c>
      <c r="AN5" s="76" t="s">
        <v>295</v>
      </c>
      <c r="AO5" s="77" t="s">
        <v>296</v>
      </c>
      <c r="AP5" s="76" t="s">
        <v>295</v>
      </c>
      <c r="AQ5" s="77" t="s">
        <v>296</v>
      </c>
      <c r="AR5" s="76" t="s">
        <v>295</v>
      </c>
      <c r="AS5" s="77" t="s">
        <v>296</v>
      </c>
      <c r="AT5" s="76" t="s">
        <v>295</v>
      </c>
      <c r="AU5" s="77" t="s">
        <v>296</v>
      </c>
      <c r="AV5" s="76" t="s">
        <v>295</v>
      </c>
      <c r="AW5" s="77" t="s">
        <v>296</v>
      </c>
      <c r="AX5" s="76" t="s">
        <v>295</v>
      </c>
      <c r="AY5" s="77" t="s">
        <v>296</v>
      </c>
      <c r="AZ5" s="76" t="s">
        <v>295</v>
      </c>
      <c r="BA5" s="77" t="s">
        <v>296</v>
      </c>
      <c r="BB5" s="76" t="s">
        <v>295</v>
      </c>
      <c r="BC5" s="77" t="s">
        <v>296</v>
      </c>
      <c r="BD5" s="76" t="s">
        <v>295</v>
      </c>
      <c r="BE5" s="77" t="s">
        <v>296</v>
      </c>
      <c r="BF5" s="76" t="s">
        <v>295</v>
      </c>
      <c r="BG5" s="77" t="s">
        <v>296</v>
      </c>
      <c r="BH5" s="76" t="s">
        <v>295</v>
      </c>
      <c r="BI5" s="77" t="s">
        <v>296</v>
      </c>
      <c r="BJ5" s="76" t="s">
        <v>295</v>
      </c>
      <c r="BK5" s="77" t="s">
        <v>296</v>
      </c>
      <c r="BL5" s="76" t="s">
        <v>295</v>
      </c>
      <c r="BM5" s="77" t="s">
        <v>296</v>
      </c>
      <c r="BN5" s="76" t="s">
        <v>295</v>
      </c>
      <c r="BO5" s="77" t="s">
        <v>296</v>
      </c>
      <c r="BP5" s="76" t="s">
        <v>295</v>
      </c>
      <c r="BQ5" s="77" t="s">
        <v>296</v>
      </c>
      <c r="BR5" s="95" t="s">
        <v>295</v>
      </c>
      <c r="BS5" s="96" t="s">
        <v>296</v>
      </c>
    </row>
    <row r="6" spans="1:71" x14ac:dyDescent="0.25">
      <c r="A6" s="32" t="s">
        <v>239</v>
      </c>
      <c r="B6" s="11"/>
      <c r="C6" s="11"/>
      <c r="D6" s="11"/>
      <c r="E6" s="11"/>
      <c r="F6" s="11"/>
      <c r="G6" s="11"/>
      <c r="H6" s="11"/>
      <c r="I6" s="11"/>
      <c r="J6" s="11">
        <v>223605</v>
      </c>
      <c r="K6" s="11">
        <v>177451</v>
      </c>
      <c r="L6" s="11">
        <v>29770</v>
      </c>
      <c r="M6" s="11">
        <v>90701</v>
      </c>
      <c r="N6" s="11">
        <v>108761</v>
      </c>
      <c r="O6" s="11">
        <v>213389</v>
      </c>
      <c r="P6" s="11"/>
      <c r="Q6" s="11"/>
      <c r="R6" s="11">
        <v>9829</v>
      </c>
      <c r="S6" s="11">
        <v>17805</v>
      </c>
      <c r="T6" s="11">
        <v>381</v>
      </c>
      <c r="U6" s="11">
        <v>417</v>
      </c>
      <c r="V6" s="11"/>
      <c r="W6" s="11"/>
      <c r="X6" s="11">
        <v>69269</v>
      </c>
      <c r="Y6" s="11">
        <v>155960</v>
      </c>
      <c r="Z6" s="11">
        <v>5206</v>
      </c>
      <c r="AA6" s="11">
        <v>11540</v>
      </c>
      <c r="AB6" s="11">
        <v>190523</v>
      </c>
      <c r="AC6" s="11">
        <v>488563</v>
      </c>
      <c r="AD6" s="11">
        <v>129653</v>
      </c>
      <c r="AE6" s="11">
        <v>441409</v>
      </c>
      <c r="AF6" s="11">
        <v>106560</v>
      </c>
      <c r="AG6" s="11">
        <v>253634</v>
      </c>
      <c r="AH6" s="11">
        <v>12748</v>
      </c>
      <c r="AI6" s="11">
        <v>21307</v>
      </c>
      <c r="AJ6" s="103">
        <v>20029</v>
      </c>
      <c r="AK6" s="11">
        <v>39080</v>
      </c>
      <c r="AL6" s="11">
        <v>5824</v>
      </c>
      <c r="AM6" s="11">
        <v>20616</v>
      </c>
      <c r="AN6" s="11"/>
      <c r="AO6" s="11"/>
      <c r="AP6" s="11">
        <v>213156.79600000003</v>
      </c>
      <c r="AQ6" s="11">
        <v>491776.353</v>
      </c>
      <c r="AR6" s="11">
        <v>889788</v>
      </c>
      <c r="AS6" s="11">
        <v>2101748</v>
      </c>
      <c r="AT6" s="11">
        <v>255334</v>
      </c>
      <c r="AU6" s="11">
        <v>638713</v>
      </c>
      <c r="AV6" s="11">
        <v>285</v>
      </c>
      <c r="AW6" s="11">
        <v>1594</v>
      </c>
      <c r="AX6" s="11">
        <v>145851</v>
      </c>
      <c r="AY6" s="11">
        <v>368833</v>
      </c>
      <c r="AZ6" s="11"/>
      <c r="BA6" s="11"/>
      <c r="BB6" s="11"/>
      <c r="BC6" s="11"/>
      <c r="BD6" s="11">
        <v>53018</v>
      </c>
      <c r="BE6" s="11">
        <v>157520</v>
      </c>
      <c r="BF6" s="11">
        <v>321216</v>
      </c>
      <c r="BG6" s="11">
        <v>672307</v>
      </c>
      <c r="BH6" s="11">
        <v>9477</v>
      </c>
      <c r="BI6" s="11">
        <v>18117</v>
      </c>
      <c r="BJ6" s="11"/>
      <c r="BK6" s="11"/>
      <c r="BL6" s="11">
        <v>220646</v>
      </c>
      <c r="BM6" s="11">
        <v>484715</v>
      </c>
      <c r="BN6" s="11">
        <v>284199</v>
      </c>
      <c r="BO6" s="11">
        <v>662731</v>
      </c>
      <c r="BP6" s="11">
        <v>33439</v>
      </c>
      <c r="BQ6" s="11">
        <v>66986</v>
      </c>
      <c r="BR6" s="99">
        <f>SUM(B6+D6+F6+H6+J6+L6+N6+P6+R6+T6+V6+X6+Z6+AB6+AD6+AF6+AH6+AJ6+AL6+AN6+AP6+AR6+AT6+AV6+AX6+AZ6+BB6+BD6+BF6+BH6+BJ6+BL6+BN6+BP6)</f>
        <v>3338567.7960000001</v>
      </c>
      <c r="BS6" s="99">
        <f>SUM(C6+E6+G6+I6+K6+M6+O6+Q6+S6+U6+W6+Y6+AA6+AC6+AE6+AG6+AI6+AK6+AM6+AO6+AQ6+AS6+AU6+AW6+AY6+BA6+BC6+BE6+BG6+BI6+BK6+BM6+BO6+BQ6)</f>
        <v>7596912.3530000001</v>
      </c>
    </row>
    <row r="7" spans="1:71" x14ac:dyDescent="0.25">
      <c r="A7" s="32" t="s">
        <v>290</v>
      </c>
      <c r="B7" s="11"/>
      <c r="C7" s="11"/>
      <c r="D7" s="11"/>
      <c r="E7" s="11"/>
      <c r="F7" s="11"/>
      <c r="G7" s="11"/>
      <c r="H7" s="11"/>
      <c r="I7" s="11"/>
      <c r="J7" s="11">
        <v>14705</v>
      </c>
      <c r="K7" s="11">
        <v>10796</v>
      </c>
      <c r="L7" s="11">
        <v>1814</v>
      </c>
      <c r="M7" s="11">
        <v>9143</v>
      </c>
      <c r="N7" s="11">
        <v>729</v>
      </c>
      <c r="O7" s="11">
        <v>1868</v>
      </c>
      <c r="P7" s="11"/>
      <c r="Q7" s="11"/>
      <c r="R7" s="11">
        <v>208</v>
      </c>
      <c r="S7" s="11">
        <v>397</v>
      </c>
      <c r="T7" s="11">
        <v>1306</v>
      </c>
      <c r="U7" s="11">
        <v>2338</v>
      </c>
      <c r="V7" s="11"/>
      <c r="W7" s="11"/>
      <c r="X7" s="11">
        <v>3026</v>
      </c>
      <c r="Y7" s="11">
        <v>21833</v>
      </c>
      <c r="Z7" s="11">
        <v>43986</v>
      </c>
      <c r="AA7" s="11">
        <v>138512</v>
      </c>
      <c r="AB7" s="11">
        <v>5356</v>
      </c>
      <c r="AC7" s="11">
        <v>24038</v>
      </c>
      <c r="AD7" s="11">
        <v>7587</v>
      </c>
      <c r="AE7" s="11">
        <v>44542</v>
      </c>
      <c r="AF7" s="11">
        <v>6149</v>
      </c>
      <c r="AG7" s="11">
        <v>17693</v>
      </c>
      <c r="AH7" s="11">
        <v>186</v>
      </c>
      <c r="AI7" s="11">
        <v>478</v>
      </c>
      <c r="AJ7" s="103">
        <v>995</v>
      </c>
      <c r="AK7" s="11">
        <v>995</v>
      </c>
      <c r="AL7" s="11">
        <v>8075</v>
      </c>
      <c r="AM7" s="11">
        <v>23775</v>
      </c>
      <c r="AN7" s="11"/>
      <c r="AO7" s="11"/>
      <c r="AP7" s="11">
        <v>50124.630000000005</v>
      </c>
      <c r="AQ7" s="11">
        <v>100904.717</v>
      </c>
      <c r="AR7" s="11">
        <v>420283</v>
      </c>
      <c r="AS7" s="11">
        <v>946098</v>
      </c>
      <c r="AT7" s="11">
        <v>114262</v>
      </c>
      <c r="AU7" s="11">
        <v>144149</v>
      </c>
      <c r="AV7" s="11">
        <v>284</v>
      </c>
      <c r="AW7" s="11">
        <v>344</v>
      </c>
      <c r="AX7" s="11">
        <v>6187</v>
      </c>
      <c r="AY7" s="11">
        <v>11146</v>
      </c>
      <c r="AZ7" s="11"/>
      <c r="BA7" s="11"/>
      <c r="BB7" s="11"/>
      <c r="BC7" s="11"/>
      <c r="BD7" s="11">
        <v>10502</v>
      </c>
      <c r="BE7" s="11">
        <v>24308</v>
      </c>
      <c r="BF7" s="11">
        <v>3333</v>
      </c>
      <c r="BG7" s="11">
        <v>3333</v>
      </c>
      <c r="BH7" s="11">
        <v>2041</v>
      </c>
      <c r="BI7" s="11">
        <v>3932</v>
      </c>
      <c r="BJ7" s="11"/>
      <c r="BK7" s="11"/>
      <c r="BL7" s="11">
        <v>19724</v>
      </c>
      <c r="BM7" s="11">
        <v>39837</v>
      </c>
      <c r="BN7" s="11">
        <v>43590</v>
      </c>
      <c r="BO7" s="11">
        <v>173254</v>
      </c>
      <c r="BP7" s="11">
        <v>1039</v>
      </c>
      <c r="BQ7" s="11">
        <v>1984</v>
      </c>
      <c r="BR7" s="99">
        <f t="shared" ref="BR7:BR9" si="0">SUM(B7+D7+F7+H7+J7+L7+N7+P7+R7+T7+V7+X7+Z7+AB7+AD7+AF7+AH7+AJ7+AL7+AN7+AP7+AR7+AT7+AV7+AX7+AZ7+BB7+BD7+BF7+BH7+BJ7+BL7+BN7+BP7)</f>
        <v>765491.63</v>
      </c>
      <c r="BS7" s="99">
        <f t="shared" ref="BS7:BS9" si="1">SUM(C7+E7+G7+I7+K7+M7+O7+Q7+S7+U7+W7+Y7+AA7+AC7+AE7+AG7+AI7+AK7+AM7+AO7+AQ7+AS7+AU7+AW7+AY7+BA7+BC7+BE7+BG7+BI7+BK7+BM7+BO7+BQ7)</f>
        <v>1745697.7169999999</v>
      </c>
    </row>
    <row r="8" spans="1:71" x14ac:dyDescent="0.25">
      <c r="A8" s="32" t="s">
        <v>291</v>
      </c>
      <c r="B8" s="11"/>
      <c r="C8" s="11"/>
      <c r="D8" s="11"/>
      <c r="E8" s="11"/>
      <c r="F8" s="11"/>
      <c r="G8" s="11"/>
      <c r="H8" s="11"/>
      <c r="I8" s="11"/>
      <c r="J8" s="11">
        <v>328181</v>
      </c>
      <c r="K8" s="11">
        <v>138315</v>
      </c>
      <c r="L8" s="11">
        <v>10593</v>
      </c>
      <c r="M8" s="11">
        <v>119387</v>
      </c>
      <c r="N8" s="11">
        <v>81660</v>
      </c>
      <c r="O8" s="11">
        <v>186383</v>
      </c>
      <c r="P8" s="11"/>
      <c r="Q8" s="11"/>
      <c r="R8" s="11">
        <v>-21379</v>
      </c>
      <c r="S8" s="11">
        <v>-38732</v>
      </c>
      <c r="T8" s="11">
        <v>733</v>
      </c>
      <c r="U8" s="11">
        <v>3906</v>
      </c>
      <c r="V8" s="11"/>
      <c r="W8" s="11"/>
      <c r="X8" s="11">
        <v>24019</v>
      </c>
      <c r="Y8" s="11">
        <v>109123</v>
      </c>
      <c r="Z8" s="11">
        <v>60094</v>
      </c>
      <c r="AA8" s="11">
        <v>204385</v>
      </c>
      <c r="AB8" s="11">
        <v>-260064</v>
      </c>
      <c r="AC8" s="11">
        <v>-672162</v>
      </c>
      <c r="AD8" s="11">
        <v>182152</v>
      </c>
      <c r="AE8" s="11">
        <v>664084</v>
      </c>
      <c r="AF8" s="11">
        <v>172344</v>
      </c>
      <c r="AG8" s="11">
        <v>502477</v>
      </c>
      <c r="AH8" s="11">
        <v>3406</v>
      </c>
      <c r="AI8" s="11">
        <v>6458</v>
      </c>
      <c r="AJ8" s="103">
        <v>14357</v>
      </c>
      <c r="AK8" s="11">
        <v>46313</v>
      </c>
      <c r="AL8" s="11">
        <v>-34365</v>
      </c>
      <c r="AM8" s="11">
        <v>-79997</v>
      </c>
      <c r="AN8" s="11"/>
      <c r="AO8" s="11"/>
      <c r="AP8" s="11">
        <v>50983.088000000003</v>
      </c>
      <c r="AQ8" s="11">
        <v>110668.357</v>
      </c>
      <c r="AR8" s="11">
        <v>240349</v>
      </c>
      <c r="AS8" s="11">
        <v>1243261</v>
      </c>
      <c r="AT8" s="11">
        <v>67555</v>
      </c>
      <c r="AU8" s="11">
        <v>245679</v>
      </c>
      <c r="AV8" s="11">
        <v>642</v>
      </c>
      <c r="AW8" s="11">
        <v>2079</v>
      </c>
      <c r="AX8" s="11">
        <v>546269</v>
      </c>
      <c r="AY8" s="11">
        <v>879888</v>
      </c>
      <c r="AZ8" s="11"/>
      <c r="BA8" s="11"/>
      <c r="BB8" s="11"/>
      <c r="BC8" s="11"/>
      <c r="BD8" s="11">
        <v>-59926</v>
      </c>
      <c r="BE8" s="11">
        <v>-163382</v>
      </c>
      <c r="BF8" s="11">
        <v>824115</v>
      </c>
      <c r="BG8" s="11">
        <v>2050966</v>
      </c>
      <c r="BH8" s="11">
        <v>2752</v>
      </c>
      <c r="BI8" s="11">
        <v>5812</v>
      </c>
      <c r="BJ8" s="11"/>
      <c r="BK8" s="11"/>
      <c r="BL8" s="11">
        <v>318079</v>
      </c>
      <c r="BM8" s="11">
        <v>1691765</v>
      </c>
      <c r="BN8" s="11">
        <v>120098</v>
      </c>
      <c r="BO8" s="11">
        <v>275075</v>
      </c>
      <c r="BP8" s="11">
        <v>16181</v>
      </c>
      <c r="BQ8" s="11">
        <v>68293</v>
      </c>
      <c r="BR8" s="99">
        <f t="shared" si="0"/>
        <v>2688828.088</v>
      </c>
      <c r="BS8" s="99">
        <f t="shared" si="1"/>
        <v>7600044.3569999998</v>
      </c>
    </row>
    <row r="9" spans="1:71" x14ac:dyDescent="0.25">
      <c r="A9" s="32" t="s">
        <v>240</v>
      </c>
      <c r="B9" s="11"/>
      <c r="C9" s="11"/>
      <c r="D9" s="11"/>
      <c r="E9" s="11"/>
      <c r="F9" s="11"/>
      <c r="G9" s="11"/>
      <c r="H9" s="11"/>
      <c r="I9" s="11"/>
      <c r="J9" s="11">
        <v>-89871</v>
      </c>
      <c r="K9" s="11">
        <v>49932</v>
      </c>
      <c r="L9" s="11">
        <v>20992</v>
      </c>
      <c r="M9" s="11">
        <v>-19543</v>
      </c>
      <c r="N9" s="11">
        <v>27830</v>
      </c>
      <c r="O9" s="11">
        <v>28874</v>
      </c>
      <c r="P9" s="11"/>
      <c r="Q9" s="11"/>
      <c r="R9" s="11">
        <v>-11342</v>
      </c>
      <c r="S9" s="11">
        <v>-20530</v>
      </c>
      <c r="T9" s="11">
        <v>954</v>
      </c>
      <c r="U9" s="11">
        <v>-1151</v>
      </c>
      <c r="V9" s="11"/>
      <c r="W9" s="11"/>
      <c r="X9" s="11">
        <v>48276</v>
      </c>
      <c r="Y9" s="11">
        <v>68671</v>
      </c>
      <c r="Z9" s="11">
        <v>-10902</v>
      </c>
      <c r="AA9" s="11">
        <v>-54333</v>
      </c>
      <c r="AB9" s="11">
        <v>-64184</v>
      </c>
      <c r="AC9" s="11">
        <v>-159561</v>
      </c>
      <c r="AD9" s="11">
        <v>-44912</v>
      </c>
      <c r="AE9" s="11">
        <v>-178133</v>
      </c>
      <c r="AF9" s="11">
        <v>-59635</v>
      </c>
      <c r="AG9" s="11">
        <v>-231150</v>
      </c>
      <c r="AH9" s="11">
        <v>9528</v>
      </c>
      <c r="AI9" s="11">
        <v>15327</v>
      </c>
      <c r="AJ9" s="103">
        <v>6666</v>
      </c>
      <c r="AK9" s="11">
        <v>-6239</v>
      </c>
      <c r="AL9" s="11">
        <v>-20466</v>
      </c>
      <c r="AM9" s="11">
        <v>-35606</v>
      </c>
      <c r="AN9" s="11"/>
      <c r="AO9" s="11"/>
      <c r="AP9" s="11">
        <v>212298.33800000005</v>
      </c>
      <c r="AQ9" s="11">
        <v>482012.71300000005</v>
      </c>
      <c r="AR9" s="11">
        <v>1069722</v>
      </c>
      <c r="AS9" s="11">
        <v>1804586</v>
      </c>
      <c r="AT9" s="11">
        <v>302041</v>
      </c>
      <c r="AU9" s="11">
        <v>537183</v>
      </c>
      <c r="AV9" s="11">
        <v>-73</v>
      </c>
      <c r="AW9" s="11">
        <v>-142</v>
      </c>
      <c r="AX9" s="11">
        <v>-394231</v>
      </c>
      <c r="AY9" s="11">
        <v>-499909</v>
      </c>
      <c r="AZ9" s="11"/>
      <c r="BA9" s="11"/>
      <c r="BB9" s="11"/>
      <c r="BC9" s="11"/>
      <c r="BD9" s="11">
        <v>3594</v>
      </c>
      <c r="BE9" s="11">
        <v>18446</v>
      </c>
      <c r="BF9" s="11">
        <v>-499566</v>
      </c>
      <c r="BG9" s="11">
        <v>-1375326</v>
      </c>
      <c r="BH9" s="11">
        <v>8766</v>
      </c>
      <c r="BI9" s="11">
        <v>16237</v>
      </c>
      <c r="BJ9" s="11"/>
      <c r="BK9" s="11"/>
      <c r="BL9" s="11">
        <v>-77709</v>
      </c>
      <c r="BM9" s="11">
        <v>-1167213</v>
      </c>
      <c r="BN9" s="11">
        <v>207691</v>
      </c>
      <c r="BO9" s="11">
        <v>560910</v>
      </c>
      <c r="BP9" s="11">
        <v>18297</v>
      </c>
      <c r="BQ9" s="11">
        <v>677</v>
      </c>
      <c r="BR9" s="99">
        <f t="shared" si="0"/>
        <v>663764.33799999999</v>
      </c>
      <c r="BS9" s="99">
        <f t="shared" si="1"/>
        <v>-165980.28700000001</v>
      </c>
    </row>
    <row r="10" spans="1:71" x14ac:dyDescent="0.25">
      <c r="A10" s="30"/>
    </row>
    <row r="11" spans="1:71" x14ac:dyDescent="0.25">
      <c r="A11" s="31" t="s">
        <v>231</v>
      </c>
    </row>
    <row r="12" spans="1:71" x14ac:dyDescent="0.25">
      <c r="A12" s="4" t="s">
        <v>0</v>
      </c>
      <c r="B12" s="105" t="s">
        <v>1</v>
      </c>
      <c r="C12" s="106"/>
      <c r="D12" s="105" t="s">
        <v>2</v>
      </c>
      <c r="E12" s="106"/>
      <c r="F12" s="105" t="s">
        <v>3</v>
      </c>
      <c r="G12" s="106"/>
      <c r="H12" s="105" t="s">
        <v>4</v>
      </c>
      <c r="I12" s="106"/>
      <c r="J12" s="105" t="s">
        <v>5</v>
      </c>
      <c r="K12" s="106"/>
      <c r="L12" s="105" t="s">
        <v>6</v>
      </c>
      <c r="M12" s="106"/>
      <c r="N12" s="105" t="s">
        <v>7</v>
      </c>
      <c r="O12" s="106"/>
      <c r="P12" s="105" t="s">
        <v>8</v>
      </c>
      <c r="Q12" s="106"/>
      <c r="R12" s="105" t="s">
        <v>9</v>
      </c>
      <c r="S12" s="106"/>
      <c r="T12" s="105" t="s">
        <v>10</v>
      </c>
      <c r="U12" s="106"/>
      <c r="V12" s="105" t="s">
        <v>11</v>
      </c>
      <c r="W12" s="106"/>
      <c r="X12" s="105" t="s">
        <v>12</v>
      </c>
      <c r="Y12" s="106"/>
      <c r="Z12" s="105" t="s">
        <v>13</v>
      </c>
      <c r="AA12" s="106"/>
      <c r="AB12" s="105" t="s">
        <v>14</v>
      </c>
      <c r="AC12" s="106"/>
      <c r="AD12" s="105" t="s">
        <v>15</v>
      </c>
      <c r="AE12" s="106"/>
      <c r="AF12" s="105" t="s">
        <v>16</v>
      </c>
      <c r="AG12" s="106"/>
      <c r="AH12" s="105" t="s">
        <v>17</v>
      </c>
      <c r="AI12" s="106"/>
      <c r="AJ12" s="105" t="s">
        <v>18</v>
      </c>
      <c r="AK12" s="106"/>
      <c r="AL12" s="105" t="s">
        <v>19</v>
      </c>
      <c r="AM12" s="106"/>
      <c r="AN12" s="105" t="s">
        <v>20</v>
      </c>
      <c r="AO12" s="106"/>
      <c r="AP12" s="105" t="s">
        <v>21</v>
      </c>
      <c r="AQ12" s="106"/>
      <c r="AR12" s="105" t="s">
        <v>22</v>
      </c>
      <c r="AS12" s="106"/>
      <c r="AT12" s="105" t="s">
        <v>23</v>
      </c>
      <c r="AU12" s="106"/>
      <c r="AV12" s="105" t="s">
        <v>24</v>
      </c>
      <c r="AW12" s="106"/>
      <c r="AX12" s="105" t="s">
        <v>25</v>
      </c>
      <c r="AY12" s="106"/>
      <c r="AZ12" s="105" t="s">
        <v>26</v>
      </c>
      <c r="BA12" s="106"/>
      <c r="BB12" s="105" t="s">
        <v>27</v>
      </c>
      <c r="BC12" s="106"/>
      <c r="BD12" s="105" t="s">
        <v>28</v>
      </c>
      <c r="BE12" s="106"/>
      <c r="BF12" s="105" t="s">
        <v>29</v>
      </c>
      <c r="BG12" s="106"/>
      <c r="BH12" s="105" t="s">
        <v>30</v>
      </c>
      <c r="BI12" s="106"/>
      <c r="BJ12" s="105" t="s">
        <v>31</v>
      </c>
      <c r="BK12" s="106"/>
      <c r="BL12" s="105" t="s">
        <v>32</v>
      </c>
      <c r="BM12" s="106"/>
      <c r="BN12" s="109" t="s">
        <v>33</v>
      </c>
      <c r="BO12" s="110"/>
      <c r="BP12" s="105" t="s">
        <v>34</v>
      </c>
      <c r="BQ12" s="106"/>
      <c r="BR12" s="107" t="s">
        <v>35</v>
      </c>
      <c r="BS12" s="108"/>
    </row>
    <row r="13" spans="1:71" ht="30" x14ac:dyDescent="0.25">
      <c r="A13" s="4"/>
      <c r="B13" s="76" t="s">
        <v>295</v>
      </c>
      <c r="C13" s="77" t="s">
        <v>296</v>
      </c>
      <c r="D13" s="76" t="s">
        <v>295</v>
      </c>
      <c r="E13" s="77" t="s">
        <v>296</v>
      </c>
      <c r="F13" s="76" t="s">
        <v>295</v>
      </c>
      <c r="G13" s="77" t="s">
        <v>296</v>
      </c>
      <c r="H13" s="76" t="s">
        <v>295</v>
      </c>
      <c r="I13" s="77" t="s">
        <v>296</v>
      </c>
      <c r="J13" s="76" t="s">
        <v>295</v>
      </c>
      <c r="K13" s="77" t="s">
        <v>296</v>
      </c>
      <c r="L13" s="76" t="s">
        <v>295</v>
      </c>
      <c r="M13" s="77" t="s">
        <v>296</v>
      </c>
      <c r="N13" s="76" t="s">
        <v>295</v>
      </c>
      <c r="O13" s="77" t="s">
        <v>296</v>
      </c>
      <c r="P13" s="76" t="s">
        <v>295</v>
      </c>
      <c r="Q13" s="77" t="s">
        <v>296</v>
      </c>
      <c r="R13" s="76" t="s">
        <v>295</v>
      </c>
      <c r="S13" s="77" t="s">
        <v>296</v>
      </c>
      <c r="T13" s="76" t="s">
        <v>295</v>
      </c>
      <c r="U13" s="77" t="s">
        <v>296</v>
      </c>
      <c r="V13" s="76" t="s">
        <v>295</v>
      </c>
      <c r="W13" s="77" t="s">
        <v>296</v>
      </c>
      <c r="X13" s="76" t="s">
        <v>295</v>
      </c>
      <c r="Y13" s="77" t="s">
        <v>296</v>
      </c>
      <c r="Z13" s="76" t="s">
        <v>295</v>
      </c>
      <c r="AA13" s="77" t="s">
        <v>296</v>
      </c>
      <c r="AB13" s="76" t="s">
        <v>295</v>
      </c>
      <c r="AC13" s="77" t="s">
        <v>296</v>
      </c>
      <c r="AD13" s="76" t="s">
        <v>295</v>
      </c>
      <c r="AE13" s="77" t="s">
        <v>296</v>
      </c>
      <c r="AF13" s="76" t="s">
        <v>295</v>
      </c>
      <c r="AG13" s="77" t="s">
        <v>296</v>
      </c>
      <c r="AH13" s="76" t="s">
        <v>295</v>
      </c>
      <c r="AI13" s="77" t="s">
        <v>296</v>
      </c>
      <c r="AJ13" s="76" t="s">
        <v>295</v>
      </c>
      <c r="AK13" s="77" t="s">
        <v>296</v>
      </c>
      <c r="AL13" s="76" t="s">
        <v>295</v>
      </c>
      <c r="AM13" s="77" t="s">
        <v>296</v>
      </c>
      <c r="AN13" s="76" t="s">
        <v>295</v>
      </c>
      <c r="AO13" s="77" t="s">
        <v>296</v>
      </c>
      <c r="AP13" s="76" t="s">
        <v>295</v>
      </c>
      <c r="AQ13" s="77" t="s">
        <v>296</v>
      </c>
      <c r="AR13" s="76" t="s">
        <v>295</v>
      </c>
      <c r="AS13" s="77" t="s">
        <v>296</v>
      </c>
      <c r="AT13" s="76" t="s">
        <v>295</v>
      </c>
      <c r="AU13" s="77" t="s">
        <v>296</v>
      </c>
      <c r="AV13" s="76" t="s">
        <v>295</v>
      </c>
      <c r="AW13" s="77" t="s">
        <v>296</v>
      </c>
      <c r="AX13" s="76" t="s">
        <v>295</v>
      </c>
      <c r="AY13" s="77" t="s">
        <v>296</v>
      </c>
      <c r="AZ13" s="76" t="s">
        <v>295</v>
      </c>
      <c r="BA13" s="77" t="s">
        <v>296</v>
      </c>
      <c r="BB13" s="76" t="s">
        <v>295</v>
      </c>
      <c r="BC13" s="77" t="s">
        <v>296</v>
      </c>
      <c r="BD13" s="76" t="s">
        <v>295</v>
      </c>
      <c r="BE13" s="77" t="s">
        <v>296</v>
      </c>
      <c r="BF13" s="76" t="s">
        <v>295</v>
      </c>
      <c r="BG13" s="77" t="s">
        <v>296</v>
      </c>
      <c r="BH13" s="76" t="s">
        <v>295</v>
      </c>
      <c r="BI13" s="77" t="s">
        <v>296</v>
      </c>
      <c r="BJ13" s="76" t="s">
        <v>295</v>
      </c>
      <c r="BK13" s="77" t="s">
        <v>296</v>
      </c>
      <c r="BL13" s="76" t="s">
        <v>295</v>
      </c>
      <c r="BM13" s="77" t="s">
        <v>296</v>
      </c>
      <c r="BN13" s="76" t="s">
        <v>295</v>
      </c>
      <c r="BO13" s="77" t="s">
        <v>296</v>
      </c>
      <c r="BP13" s="76" t="s">
        <v>295</v>
      </c>
      <c r="BQ13" s="77" t="s">
        <v>296</v>
      </c>
      <c r="BR13" s="95" t="s">
        <v>295</v>
      </c>
      <c r="BS13" s="96" t="s">
        <v>296</v>
      </c>
    </row>
    <row r="14" spans="1:71" x14ac:dyDescent="0.25">
      <c r="A14" s="32" t="s">
        <v>239</v>
      </c>
      <c r="B14" s="11"/>
      <c r="C14" s="11"/>
      <c r="D14" s="11"/>
      <c r="E14" s="11"/>
      <c r="F14" s="11"/>
      <c r="G14" s="11"/>
      <c r="H14" s="11"/>
      <c r="I14" s="11"/>
      <c r="J14" s="11">
        <v>43916</v>
      </c>
      <c r="K14" s="11">
        <v>41078</v>
      </c>
      <c r="L14" s="11">
        <v>22231</v>
      </c>
      <c r="M14" s="11">
        <v>51658</v>
      </c>
      <c r="N14" s="11">
        <v>12121</v>
      </c>
      <c r="O14" s="11">
        <v>28465</v>
      </c>
      <c r="P14" s="11"/>
      <c r="Q14" s="11"/>
      <c r="R14" s="11"/>
      <c r="S14" s="11"/>
      <c r="T14" s="11">
        <v>261</v>
      </c>
      <c r="U14" s="11">
        <v>298</v>
      </c>
      <c r="V14" s="11"/>
      <c r="W14" s="11"/>
      <c r="X14" s="11">
        <v>20698</v>
      </c>
      <c r="Y14" s="11">
        <v>51034</v>
      </c>
      <c r="Z14" s="11">
        <v>1326</v>
      </c>
      <c r="AA14" s="11">
        <v>1326</v>
      </c>
      <c r="AB14" s="11">
        <v>40149</v>
      </c>
      <c r="AC14" s="11">
        <v>107322</v>
      </c>
      <c r="AD14" s="11">
        <v>79053</v>
      </c>
      <c r="AE14" s="11">
        <v>192587</v>
      </c>
      <c r="AF14" s="11">
        <v>28432</v>
      </c>
      <c r="AG14" s="11">
        <v>60961</v>
      </c>
      <c r="AH14" s="11"/>
      <c r="AI14" s="11"/>
      <c r="AJ14" s="103">
        <v>10108</v>
      </c>
      <c r="AK14" s="11">
        <v>25096</v>
      </c>
      <c r="AL14" s="11">
        <v>3093</v>
      </c>
      <c r="AM14" s="11">
        <v>7813</v>
      </c>
      <c r="AN14" s="11"/>
      <c r="AO14" s="11"/>
      <c r="AP14" s="11">
        <v>51930.847999999998</v>
      </c>
      <c r="AQ14" s="11">
        <v>104313.091</v>
      </c>
      <c r="AR14" s="11">
        <v>165507</v>
      </c>
      <c r="AS14" s="11">
        <v>372104</v>
      </c>
      <c r="AT14" s="11">
        <v>66973</v>
      </c>
      <c r="AU14" s="11">
        <v>145698</v>
      </c>
      <c r="AV14" s="11"/>
      <c r="AW14" s="11">
        <v>-11</v>
      </c>
      <c r="AX14" s="11">
        <v>10441</v>
      </c>
      <c r="AY14" s="11">
        <v>87677</v>
      </c>
      <c r="AZ14" s="11"/>
      <c r="BA14" s="11"/>
      <c r="BB14" s="11"/>
      <c r="BC14" s="11"/>
      <c r="BD14" s="11">
        <v>15054</v>
      </c>
      <c r="BE14" s="11">
        <v>32331</v>
      </c>
      <c r="BF14" s="11">
        <v>11713</v>
      </c>
      <c r="BG14" s="11">
        <v>22067</v>
      </c>
      <c r="BH14" s="11">
        <v>463</v>
      </c>
      <c r="BI14" s="11">
        <v>962</v>
      </c>
      <c r="BJ14" s="11"/>
      <c r="BK14" s="11"/>
      <c r="BL14" s="11">
        <v>119362</v>
      </c>
      <c r="BM14" s="11">
        <v>281591</v>
      </c>
      <c r="BN14" s="11">
        <v>71792</v>
      </c>
      <c r="BO14" s="11">
        <v>140217</v>
      </c>
      <c r="BP14" s="11">
        <v>8401</v>
      </c>
      <c r="BQ14" s="11">
        <v>12193</v>
      </c>
      <c r="BR14" s="99">
        <f t="shared" ref="BR14:BR17" si="2">SUM(B14+D14+F14+H14+J14+L14+N14+P14+R14+T14+V14+X14+Z14+AB14+AD14+AF14+AH14+AJ14+AL14+AN14+AP14+AR14+AT14+AV14+AX14+AZ14+BB14+BD14+BF14+BH14+BJ14+BL14+BN14+BP14)</f>
        <v>783024.848</v>
      </c>
      <c r="BS14" s="99">
        <f t="shared" ref="BS14:BS17" si="3">SUM(C14+E14+G14+I14+K14+M14+O14+Q14+S14+U14+W14+Y14+AA14+AC14+AE14+AG14+AI14+AK14+AM14+AO14+AQ14+AS14+AU14+AW14+AY14+BA14+BC14+BE14+BG14+BI14+BK14+BM14+BO14+BQ14)</f>
        <v>1766780.091</v>
      </c>
    </row>
    <row r="15" spans="1:71" x14ac:dyDescent="0.25">
      <c r="A15" s="32" t="s">
        <v>290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>
        <v>49</v>
      </c>
      <c r="M15" s="11">
        <v>341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381</v>
      </c>
      <c r="Y15" s="11">
        <v>801</v>
      </c>
      <c r="Z15" s="11">
        <v>59</v>
      </c>
      <c r="AA15" s="11">
        <v>89</v>
      </c>
      <c r="AB15" s="11">
        <v>915</v>
      </c>
      <c r="AC15" s="11">
        <v>3127</v>
      </c>
      <c r="AD15" s="11">
        <v>5401</v>
      </c>
      <c r="AE15" s="11">
        <v>19789</v>
      </c>
      <c r="AF15" s="11">
        <v>47</v>
      </c>
      <c r="AG15" s="11">
        <v>138</v>
      </c>
      <c r="AH15" s="11"/>
      <c r="AI15" s="11"/>
      <c r="AJ15" s="103"/>
      <c r="AK15" s="11"/>
      <c r="AL15" s="11">
        <v>132</v>
      </c>
      <c r="AM15" s="11">
        <v>2549</v>
      </c>
      <c r="AN15" s="11"/>
      <c r="AO15" s="11"/>
      <c r="AP15" s="11">
        <v>1138.4960000000005</v>
      </c>
      <c r="AQ15" s="11">
        <v>3521.0830000000001</v>
      </c>
      <c r="AR15" s="11">
        <v>42935</v>
      </c>
      <c r="AS15" s="11">
        <v>56807</v>
      </c>
      <c r="AT15" s="11">
        <v>6191</v>
      </c>
      <c r="AU15" s="11">
        <v>20988</v>
      </c>
      <c r="AV15" s="11"/>
      <c r="AW15" s="11"/>
      <c r="AX15" s="11"/>
      <c r="AY15" s="11"/>
      <c r="AZ15" s="11"/>
      <c r="BA15" s="11"/>
      <c r="BB15" s="11"/>
      <c r="BC15" s="11"/>
      <c r="BD15" s="11">
        <v>33</v>
      </c>
      <c r="BE15" s="11">
        <v>37</v>
      </c>
      <c r="BF15" s="11"/>
      <c r="BG15" s="11"/>
      <c r="BH15" s="11"/>
      <c r="BI15" s="11"/>
      <c r="BJ15" s="11"/>
      <c r="BK15" s="11"/>
      <c r="BL15" s="11">
        <v>7389</v>
      </c>
      <c r="BM15" s="11">
        <v>9388</v>
      </c>
      <c r="BN15" s="11">
        <v>936</v>
      </c>
      <c r="BO15" s="11">
        <v>13481</v>
      </c>
      <c r="BP15" s="11"/>
      <c r="BQ15" s="11"/>
      <c r="BR15" s="99">
        <f t="shared" si="2"/>
        <v>65606.495999999999</v>
      </c>
      <c r="BS15" s="99">
        <f t="shared" si="3"/>
        <v>131056.083</v>
      </c>
    </row>
    <row r="16" spans="1:71" x14ac:dyDescent="0.25">
      <c r="A16" s="32" t="s">
        <v>291</v>
      </c>
      <c r="B16" s="11"/>
      <c r="C16" s="11"/>
      <c r="D16" s="11"/>
      <c r="E16" s="11"/>
      <c r="F16" s="11"/>
      <c r="G16" s="11"/>
      <c r="H16" s="11"/>
      <c r="I16" s="11"/>
      <c r="J16" s="11">
        <v>9360</v>
      </c>
      <c r="K16" s="11">
        <v>5669</v>
      </c>
      <c r="L16" s="11">
        <v>6609</v>
      </c>
      <c r="M16" s="11">
        <v>12726</v>
      </c>
      <c r="N16" s="11">
        <v>28274</v>
      </c>
      <c r="O16" s="11">
        <v>53076</v>
      </c>
      <c r="P16" s="11"/>
      <c r="Q16" s="11"/>
      <c r="R16" s="11"/>
      <c r="S16" s="11"/>
      <c r="T16" s="11">
        <v>323</v>
      </c>
      <c r="U16" s="11">
        <v>368</v>
      </c>
      <c r="V16" s="11"/>
      <c r="W16" s="11"/>
      <c r="X16" s="11">
        <v>1439</v>
      </c>
      <c r="Y16" s="11">
        <v>6447</v>
      </c>
      <c r="Z16" s="11">
        <v>1353</v>
      </c>
      <c r="AA16" s="11">
        <v>1395</v>
      </c>
      <c r="AB16" s="11">
        <f>-212-17905</f>
        <v>-18117</v>
      </c>
      <c r="AC16" s="11">
        <f>2453-47083</f>
        <v>-44630</v>
      </c>
      <c r="AD16" s="11">
        <v>15331</v>
      </c>
      <c r="AE16" s="11">
        <v>35012</v>
      </c>
      <c r="AF16" s="11">
        <v>36401</v>
      </c>
      <c r="AG16" s="11">
        <v>70170</v>
      </c>
      <c r="AH16" s="11"/>
      <c r="AI16" s="11"/>
      <c r="AJ16" s="103">
        <v>473</v>
      </c>
      <c r="AK16" s="11">
        <v>1133</v>
      </c>
      <c r="AL16" s="11">
        <v>-6264</v>
      </c>
      <c r="AM16" s="11">
        <v>-14228</v>
      </c>
      <c r="AN16" s="11"/>
      <c r="AO16" s="11"/>
      <c r="AP16" s="11">
        <v>26015.29</v>
      </c>
      <c r="AQ16" s="11">
        <v>52414.875</v>
      </c>
      <c r="AR16" s="11">
        <v>48166</v>
      </c>
      <c r="AS16" s="11">
        <v>96569</v>
      </c>
      <c r="AT16" s="11">
        <v>21888</v>
      </c>
      <c r="AU16" s="11">
        <v>53056</v>
      </c>
      <c r="AV16" s="11">
        <v>2</v>
      </c>
      <c r="AW16" s="11">
        <v>1</v>
      </c>
      <c r="AX16" s="11">
        <v>25968</v>
      </c>
      <c r="AY16" s="11">
        <v>109409</v>
      </c>
      <c r="AZ16" s="11"/>
      <c r="BA16" s="11"/>
      <c r="BB16" s="11"/>
      <c r="BC16" s="11"/>
      <c r="BD16" s="11">
        <v>-8025</v>
      </c>
      <c r="BE16" s="11">
        <v>-23035</v>
      </c>
      <c r="BF16" s="11">
        <v>1230</v>
      </c>
      <c r="BG16" s="11">
        <v>1992</v>
      </c>
      <c r="BH16" s="11">
        <v>81</v>
      </c>
      <c r="BI16" s="11">
        <v>221</v>
      </c>
      <c r="BJ16" s="11"/>
      <c r="BK16" s="11"/>
      <c r="BL16" s="11">
        <v>10911</v>
      </c>
      <c r="BM16" s="11">
        <v>20830</v>
      </c>
      <c r="BN16" s="11">
        <v>14724</v>
      </c>
      <c r="BO16" s="11">
        <v>34150</v>
      </c>
      <c r="BP16" s="11">
        <f>3265+8768</f>
        <v>12033</v>
      </c>
      <c r="BQ16" s="11">
        <f>4596+10214</f>
        <v>14810</v>
      </c>
      <c r="BR16" s="99">
        <f t="shared" si="2"/>
        <v>228175.29</v>
      </c>
      <c r="BS16" s="99">
        <f t="shared" si="3"/>
        <v>487555.875</v>
      </c>
    </row>
    <row r="17" spans="1:71" x14ac:dyDescent="0.25">
      <c r="A17" s="32" t="s">
        <v>240</v>
      </c>
      <c r="B17" s="11"/>
      <c r="C17" s="11"/>
      <c r="D17" s="11"/>
      <c r="E17" s="11"/>
      <c r="F17" s="11"/>
      <c r="G17" s="11"/>
      <c r="H17" s="11"/>
      <c r="I17" s="11"/>
      <c r="J17" s="11">
        <v>34556</v>
      </c>
      <c r="K17" s="11">
        <v>35409</v>
      </c>
      <c r="L17" s="11">
        <v>15671</v>
      </c>
      <c r="M17" s="11">
        <v>39273</v>
      </c>
      <c r="N17" s="11">
        <v>-16153</v>
      </c>
      <c r="O17" s="11">
        <v>-24611</v>
      </c>
      <c r="P17" s="11"/>
      <c r="Q17" s="11"/>
      <c r="R17" s="11"/>
      <c r="S17" s="11"/>
      <c r="T17" s="11">
        <v>-62</v>
      </c>
      <c r="U17" s="11">
        <v>-70</v>
      </c>
      <c r="V17" s="11"/>
      <c r="W17" s="11"/>
      <c r="X17" s="11">
        <v>19640</v>
      </c>
      <c r="Y17" s="11">
        <v>45388</v>
      </c>
      <c r="Z17" s="11">
        <v>32</v>
      </c>
      <c r="AA17" s="11">
        <v>20</v>
      </c>
      <c r="AB17" s="11">
        <f>-212+23158</f>
        <v>22946</v>
      </c>
      <c r="AC17" s="11">
        <f>2593+63366</f>
        <v>65959</v>
      </c>
      <c r="AD17" s="11">
        <v>69123</v>
      </c>
      <c r="AE17" s="11">
        <v>177364</v>
      </c>
      <c r="AF17" s="11">
        <v>-7922</v>
      </c>
      <c r="AG17" s="11">
        <v>-9071</v>
      </c>
      <c r="AH17" s="11"/>
      <c r="AI17" s="11"/>
      <c r="AJ17" s="103">
        <v>9635</v>
      </c>
      <c r="AK17" s="11">
        <v>23963</v>
      </c>
      <c r="AL17" s="11">
        <v>-3039</v>
      </c>
      <c r="AM17" s="11">
        <v>-3866</v>
      </c>
      <c r="AN17" s="11"/>
      <c r="AO17" s="11"/>
      <c r="AP17" s="11">
        <v>27054.053999999996</v>
      </c>
      <c r="AQ17" s="11">
        <v>55419.298999999999</v>
      </c>
      <c r="AR17" s="11">
        <v>160276</v>
      </c>
      <c r="AS17" s="11">
        <v>332343</v>
      </c>
      <c r="AT17" s="11">
        <v>51276</v>
      </c>
      <c r="AU17" s="11">
        <v>113630</v>
      </c>
      <c r="AV17" s="11">
        <v>-2</v>
      </c>
      <c r="AW17" s="11">
        <v>-12</v>
      </c>
      <c r="AX17" s="11">
        <v>-15527</v>
      </c>
      <c r="AY17" s="11">
        <v>-21732</v>
      </c>
      <c r="AZ17" s="11"/>
      <c r="BA17" s="11"/>
      <c r="BB17" s="11"/>
      <c r="BC17" s="11"/>
      <c r="BD17" s="11">
        <v>7062</v>
      </c>
      <c r="BE17" s="11">
        <v>9333</v>
      </c>
      <c r="BF17" s="11">
        <v>10483</v>
      </c>
      <c r="BG17" s="11">
        <v>20075</v>
      </c>
      <c r="BH17" s="11">
        <v>382</v>
      </c>
      <c r="BI17" s="11">
        <v>741</v>
      </c>
      <c r="BJ17" s="11"/>
      <c r="BK17" s="11"/>
      <c r="BL17" s="11">
        <v>115840</v>
      </c>
      <c r="BM17" s="11">
        <v>270149</v>
      </c>
      <c r="BN17" s="11">
        <v>58004</v>
      </c>
      <c r="BO17" s="11">
        <v>119548</v>
      </c>
      <c r="BP17" s="11">
        <f>-3265-367</f>
        <v>-3632</v>
      </c>
      <c r="BQ17" s="11">
        <f>-4596+1979</f>
        <v>-2617</v>
      </c>
      <c r="BR17" s="99">
        <f t="shared" si="2"/>
        <v>555643.054</v>
      </c>
      <c r="BS17" s="99">
        <f t="shared" si="3"/>
        <v>1246635.2990000001</v>
      </c>
    </row>
    <row r="18" spans="1:71" x14ac:dyDescent="0.25">
      <c r="A18" s="30"/>
    </row>
    <row r="19" spans="1:71" x14ac:dyDescent="0.25">
      <c r="A19" s="31" t="s">
        <v>232</v>
      </c>
    </row>
    <row r="20" spans="1:71" x14ac:dyDescent="0.25">
      <c r="A20" s="4" t="s">
        <v>0</v>
      </c>
      <c r="B20" s="105" t="s">
        <v>1</v>
      </c>
      <c r="C20" s="106"/>
      <c r="D20" s="105" t="s">
        <v>2</v>
      </c>
      <c r="E20" s="106"/>
      <c r="F20" s="105" t="s">
        <v>3</v>
      </c>
      <c r="G20" s="106"/>
      <c r="H20" s="105" t="s">
        <v>4</v>
      </c>
      <c r="I20" s="106"/>
      <c r="J20" s="105" t="s">
        <v>5</v>
      </c>
      <c r="K20" s="106"/>
      <c r="L20" s="105" t="s">
        <v>6</v>
      </c>
      <c r="M20" s="106"/>
      <c r="N20" s="105" t="s">
        <v>7</v>
      </c>
      <c r="O20" s="106"/>
      <c r="P20" s="105" t="s">
        <v>8</v>
      </c>
      <c r="Q20" s="106"/>
      <c r="R20" s="105" t="s">
        <v>9</v>
      </c>
      <c r="S20" s="106"/>
      <c r="T20" s="105" t="s">
        <v>10</v>
      </c>
      <c r="U20" s="106"/>
      <c r="V20" s="105" t="s">
        <v>11</v>
      </c>
      <c r="W20" s="106"/>
      <c r="X20" s="105" t="s">
        <v>12</v>
      </c>
      <c r="Y20" s="106"/>
      <c r="Z20" s="105" t="s">
        <v>13</v>
      </c>
      <c r="AA20" s="106"/>
      <c r="AB20" s="105" t="s">
        <v>14</v>
      </c>
      <c r="AC20" s="106"/>
      <c r="AD20" s="105" t="s">
        <v>15</v>
      </c>
      <c r="AE20" s="106"/>
      <c r="AF20" s="105" t="s">
        <v>16</v>
      </c>
      <c r="AG20" s="106"/>
      <c r="AH20" s="105" t="s">
        <v>17</v>
      </c>
      <c r="AI20" s="106"/>
      <c r="AJ20" s="105" t="s">
        <v>18</v>
      </c>
      <c r="AK20" s="106"/>
      <c r="AL20" s="105" t="s">
        <v>19</v>
      </c>
      <c r="AM20" s="106"/>
      <c r="AN20" s="105" t="s">
        <v>20</v>
      </c>
      <c r="AO20" s="106"/>
      <c r="AP20" s="105" t="s">
        <v>21</v>
      </c>
      <c r="AQ20" s="106"/>
      <c r="AR20" s="105" t="s">
        <v>22</v>
      </c>
      <c r="AS20" s="106"/>
      <c r="AT20" s="105" t="s">
        <v>23</v>
      </c>
      <c r="AU20" s="106"/>
      <c r="AV20" s="105" t="s">
        <v>24</v>
      </c>
      <c r="AW20" s="106"/>
      <c r="AX20" s="105" t="s">
        <v>25</v>
      </c>
      <c r="AY20" s="106"/>
      <c r="AZ20" s="105" t="s">
        <v>26</v>
      </c>
      <c r="BA20" s="106"/>
      <c r="BB20" s="105" t="s">
        <v>27</v>
      </c>
      <c r="BC20" s="106"/>
      <c r="BD20" s="105" t="s">
        <v>28</v>
      </c>
      <c r="BE20" s="106"/>
      <c r="BF20" s="105" t="s">
        <v>29</v>
      </c>
      <c r="BG20" s="106"/>
      <c r="BH20" s="105" t="s">
        <v>30</v>
      </c>
      <c r="BI20" s="106"/>
      <c r="BJ20" s="105" t="s">
        <v>31</v>
      </c>
      <c r="BK20" s="106"/>
      <c r="BL20" s="105" t="s">
        <v>32</v>
      </c>
      <c r="BM20" s="106"/>
      <c r="BN20" s="109" t="s">
        <v>33</v>
      </c>
      <c r="BO20" s="110"/>
      <c r="BP20" s="105" t="s">
        <v>34</v>
      </c>
      <c r="BQ20" s="106"/>
      <c r="BR20" s="107" t="s">
        <v>35</v>
      </c>
      <c r="BS20" s="108"/>
    </row>
    <row r="21" spans="1:71" ht="30" x14ac:dyDescent="0.25">
      <c r="A21" s="4"/>
      <c r="B21" s="76" t="s">
        <v>295</v>
      </c>
      <c r="C21" s="77" t="s">
        <v>296</v>
      </c>
      <c r="D21" s="76" t="s">
        <v>295</v>
      </c>
      <c r="E21" s="77" t="s">
        <v>296</v>
      </c>
      <c r="F21" s="76" t="s">
        <v>295</v>
      </c>
      <c r="G21" s="77" t="s">
        <v>296</v>
      </c>
      <c r="H21" s="76" t="s">
        <v>295</v>
      </c>
      <c r="I21" s="77" t="s">
        <v>296</v>
      </c>
      <c r="J21" s="76" t="s">
        <v>295</v>
      </c>
      <c r="K21" s="77" t="s">
        <v>296</v>
      </c>
      <c r="L21" s="76" t="s">
        <v>295</v>
      </c>
      <c r="M21" s="77" t="s">
        <v>296</v>
      </c>
      <c r="N21" s="76" t="s">
        <v>295</v>
      </c>
      <c r="O21" s="77" t="s">
        <v>296</v>
      </c>
      <c r="P21" s="76" t="s">
        <v>295</v>
      </c>
      <c r="Q21" s="77" t="s">
        <v>296</v>
      </c>
      <c r="R21" s="76" t="s">
        <v>295</v>
      </c>
      <c r="S21" s="77" t="s">
        <v>296</v>
      </c>
      <c r="T21" s="76" t="s">
        <v>295</v>
      </c>
      <c r="U21" s="77" t="s">
        <v>296</v>
      </c>
      <c r="V21" s="76" t="s">
        <v>295</v>
      </c>
      <c r="W21" s="77" t="s">
        <v>296</v>
      </c>
      <c r="X21" s="76" t="s">
        <v>295</v>
      </c>
      <c r="Y21" s="77" t="s">
        <v>296</v>
      </c>
      <c r="Z21" s="76" t="s">
        <v>295</v>
      </c>
      <c r="AA21" s="77" t="s">
        <v>296</v>
      </c>
      <c r="AB21" s="76" t="s">
        <v>295</v>
      </c>
      <c r="AC21" s="77" t="s">
        <v>296</v>
      </c>
      <c r="AD21" s="76" t="s">
        <v>295</v>
      </c>
      <c r="AE21" s="77" t="s">
        <v>296</v>
      </c>
      <c r="AF21" s="76" t="s">
        <v>295</v>
      </c>
      <c r="AG21" s="77" t="s">
        <v>296</v>
      </c>
      <c r="AH21" s="76" t="s">
        <v>295</v>
      </c>
      <c r="AI21" s="77" t="s">
        <v>296</v>
      </c>
      <c r="AJ21" s="76" t="s">
        <v>295</v>
      </c>
      <c r="AK21" s="77" t="s">
        <v>296</v>
      </c>
      <c r="AL21" s="76" t="s">
        <v>295</v>
      </c>
      <c r="AM21" s="77" t="s">
        <v>296</v>
      </c>
      <c r="AN21" s="76" t="s">
        <v>295</v>
      </c>
      <c r="AO21" s="77" t="s">
        <v>296</v>
      </c>
      <c r="AP21" s="76" t="s">
        <v>295</v>
      </c>
      <c r="AQ21" s="77" t="s">
        <v>296</v>
      </c>
      <c r="AR21" s="76" t="s">
        <v>295</v>
      </c>
      <c r="AS21" s="77" t="s">
        <v>296</v>
      </c>
      <c r="AT21" s="76" t="s">
        <v>295</v>
      </c>
      <c r="AU21" s="77" t="s">
        <v>296</v>
      </c>
      <c r="AV21" s="76" t="s">
        <v>295</v>
      </c>
      <c r="AW21" s="77" t="s">
        <v>296</v>
      </c>
      <c r="AX21" s="76" t="s">
        <v>295</v>
      </c>
      <c r="AY21" s="77" t="s">
        <v>296</v>
      </c>
      <c r="AZ21" s="76" t="s">
        <v>295</v>
      </c>
      <c r="BA21" s="77" t="s">
        <v>296</v>
      </c>
      <c r="BB21" s="76" t="s">
        <v>295</v>
      </c>
      <c r="BC21" s="77" t="s">
        <v>296</v>
      </c>
      <c r="BD21" s="76" t="s">
        <v>295</v>
      </c>
      <c r="BE21" s="77" t="s">
        <v>296</v>
      </c>
      <c r="BF21" s="76" t="s">
        <v>295</v>
      </c>
      <c r="BG21" s="77" t="s">
        <v>296</v>
      </c>
      <c r="BH21" s="76" t="s">
        <v>295</v>
      </c>
      <c r="BI21" s="77" t="s">
        <v>296</v>
      </c>
      <c r="BJ21" s="76" t="s">
        <v>295</v>
      </c>
      <c r="BK21" s="77" t="s">
        <v>296</v>
      </c>
      <c r="BL21" s="76" t="s">
        <v>295</v>
      </c>
      <c r="BM21" s="77" t="s">
        <v>296</v>
      </c>
      <c r="BN21" s="76" t="s">
        <v>295</v>
      </c>
      <c r="BO21" s="77" t="s">
        <v>296</v>
      </c>
      <c r="BP21" s="76" t="s">
        <v>295</v>
      </c>
      <c r="BQ21" s="77" t="s">
        <v>296</v>
      </c>
      <c r="BR21" s="95" t="s">
        <v>295</v>
      </c>
      <c r="BS21" s="96" t="s">
        <v>296</v>
      </c>
    </row>
    <row r="22" spans="1:71" x14ac:dyDescent="0.25">
      <c r="A22" s="32" t="s">
        <v>239</v>
      </c>
      <c r="B22" s="11">
        <v>9477</v>
      </c>
      <c r="C22" s="11">
        <v>16829</v>
      </c>
      <c r="D22" s="11"/>
      <c r="E22" s="11"/>
      <c r="F22" s="11"/>
      <c r="G22" s="11"/>
      <c r="H22" s="11"/>
      <c r="I22" s="11"/>
      <c r="J22" s="11">
        <v>913193</v>
      </c>
      <c r="K22" s="11">
        <v>1091061</v>
      </c>
      <c r="L22" s="11">
        <v>344305</v>
      </c>
      <c r="M22" s="11">
        <v>702350</v>
      </c>
      <c r="N22" s="11">
        <v>469879</v>
      </c>
      <c r="O22" s="11">
        <v>991190</v>
      </c>
      <c r="P22" s="11"/>
      <c r="Q22" s="11"/>
      <c r="R22" s="11">
        <v>18975</v>
      </c>
      <c r="S22" s="11">
        <v>32932</v>
      </c>
      <c r="T22" s="11">
        <v>11406</v>
      </c>
      <c r="U22" s="11">
        <v>13682</v>
      </c>
      <c r="V22" s="11"/>
      <c r="W22" s="11"/>
      <c r="X22" s="11">
        <f>23276+166556</f>
        <v>189832</v>
      </c>
      <c r="Y22" s="11">
        <f>43460+330699</f>
        <v>374159</v>
      </c>
      <c r="Z22" s="11">
        <v>153302</v>
      </c>
      <c r="AA22" s="11">
        <v>255961</v>
      </c>
      <c r="AB22" s="11">
        <f>58984+685317</f>
        <v>744301</v>
      </c>
      <c r="AC22" s="11">
        <f>98013+1380994</f>
        <v>1479007</v>
      </c>
      <c r="AD22" s="11">
        <v>1512004</v>
      </c>
      <c r="AE22" s="11">
        <v>3136049</v>
      </c>
      <c r="AF22" s="11"/>
      <c r="AG22" s="11">
        <v>1703358</v>
      </c>
      <c r="AH22" s="11">
        <v>49785</v>
      </c>
      <c r="AI22" s="11">
        <v>93387</v>
      </c>
      <c r="AJ22" s="103">
        <f>5966+310470</f>
        <v>316436</v>
      </c>
      <c r="AK22" s="11">
        <f>7555+559210</f>
        <v>566765</v>
      </c>
      <c r="AL22" s="11">
        <v>133206</v>
      </c>
      <c r="AM22" s="11">
        <v>264430</v>
      </c>
      <c r="AN22" s="11"/>
      <c r="AO22" s="11"/>
      <c r="AP22" s="11">
        <v>1099429.341</v>
      </c>
      <c r="AQ22" s="11">
        <v>2153939.9840000002</v>
      </c>
      <c r="AR22" s="11">
        <v>2559005</v>
      </c>
      <c r="AS22" s="11">
        <v>5005590</v>
      </c>
      <c r="AT22" s="11">
        <v>695007</v>
      </c>
      <c r="AU22" s="11">
        <v>1276234</v>
      </c>
      <c r="AV22" s="11">
        <f>32+2139</f>
        <v>2171</v>
      </c>
      <c r="AW22" s="11">
        <f>61+2902</f>
        <v>2963</v>
      </c>
      <c r="AX22" s="11">
        <v>577682</v>
      </c>
      <c r="AY22" s="11">
        <v>1291865</v>
      </c>
      <c r="AZ22" s="11"/>
      <c r="BA22" s="11"/>
      <c r="BB22" s="11"/>
      <c r="BC22" s="11"/>
      <c r="BD22" s="11">
        <v>560156</v>
      </c>
      <c r="BE22" s="11">
        <v>1082776</v>
      </c>
      <c r="BF22" s="11">
        <v>317890</v>
      </c>
      <c r="BG22" s="11">
        <v>593339</v>
      </c>
      <c r="BH22" s="11">
        <v>312502</v>
      </c>
      <c r="BI22" s="11">
        <v>527201</v>
      </c>
      <c r="BJ22" s="11"/>
      <c r="BK22" s="11"/>
      <c r="BL22" s="11">
        <v>868483</v>
      </c>
      <c r="BM22" s="11">
        <v>1765839</v>
      </c>
      <c r="BN22" s="11">
        <v>904044</v>
      </c>
      <c r="BO22" s="11">
        <v>1746184</v>
      </c>
      <c r="BP22" s="11">
        <f>1824+162374</f>
        <v>164198</v>
      </c>
      <c r="BQ22" s="11">
        <f>3007+317088</f>
        <v>320095</v>
      </c>
      <c r="BR22" s="99">
        <f t="shared" ref="BR22:BR25" si="4">SUM(B22+D22+F22+H22+J22+L22+N22+P22+R22+T22+V22+X22+Z22+AB22+AD22+AF22+AH22+AJ22+AL22+AN22+AP22+AR22+AT22+AV22+AX22+AZ22+BB22+BD22+BF22+BH22+BJ22+BL22+BN22+BP22)</f>
        <v>12926668.341</v>
      </c>
      <c r="BS22" s="99">
        <f t="shared" ref="BS22:BS25" si="5">SUM(C22+E22+G22+I22+K22+M22+O22+Q22+S22+U22+W22+Y22+AA22+AC22+AE22+AG22+AI22+AK22+AM22+AO22+AQ22+AS22+AU22+AW22+AY22+BA22+BC22+BE22+BG22+BI22+BK22+BM22+BO22+BQ22)</f>
        <v>26487185.984000001</v>
      </c>
    </row>
    <row r="23" spans="1:71" x14ac:dyDescent="0.25">
      <c r="A23" s="32" t="s">
        <v>290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>
        <v>531</v>
      </c>
      <c r="AF23" s="11"/>
      <c r="AG23" s="11"/>
      <c r="AH23" s="11"/>
      <c r="AI23" s="11"/>
      <c r="AJ23" s="103"/>
      <c r="AK23" s="11"/>
      <c r="AL23" s="11"/>
      <c r="AM23" s="11"/>
      <c r="AN23" s="11"/>
      <c r="AO23" s="11"/>
      <c r="AP23" s="11">
        <v>-86.09</v>
      </c>
      <c r="AQ23" s="11">
        <v>-43.058</v>
      </c>
      <c r="AR23" s="11">
        <v>1628</v>
      </c>
      <c r="AS23" s="11">
        <v>928</v>
      </c>
      <c r="AT23" s="11">
        <v>63</v>
      </c>
      <c r="AU23" s="11">
        <v>182</v>
      </c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>
        <v>0</v>
      </c>
      <c r="BO23" s="11">
        <v>0</v>
      </c>
      <c r="BP23" s="11"/>
      <c r="BQ23" s="11"/>
      <c r="BR23" s="99">
        <f t="shared" si="4"/>
        <v>1604.91</v>
      </c>
      <c r="BS23" s="99">
        <f t="shared" si="5"/>
        <v>1597.942</v>
      </c>
    </row>
    <row r="24" spans="1:71" x14ac:dyDescent="0.25">
      <c r="A24" s="32" t="s">
        <v>291</v>
      </c>
      <c r="B24" s="11">
        <v>39183</v>
      </c>
      <c r="C24" s="11">
        <v>64540</v>
      </c>
      <c r="D24" s="11"/>
      <c r="E24" s="11"/>
      <c r="F24" s="11"/>
      <c r="G24" s="11"/>
      <c r="H24" s="11"/>
      <c r="I24" s="11"/>
      <c r="J24" s="11">
        <v>-104149</v>
      </c>
      <c r="K24" s="11">
        <v>56500</v>
      </c>
      <c r="L24" s="11">
        <v>58889</v>
      </c>
      <c r="M24" s="11">
        <v>111525</v>
      </c>
      <c r="N24" s="11">
        <v>421373</v>
      </c>
      <c r="O24" s="11">
        <v>828302</v>
      </c>
      <c r="P24" s="11"/>
      <c r="Q24" s="11"/>
      <c r="R24" s="11">
        <v>-1405</v>
      </c>
      <c r="S24" s="11">
        <v>-2410</v>
      </c>
      <c r="T24" s="11">
        <v>639</v>
      </c>
      <c r="U24" s="11">
        <v>774</v>
      </c>
      <c r="V24" s="11"/>
      <c r="W24" s="11"/>
      <c r="X24" s="11">
        <f>7848+9213</f>
        <v>17061</v>
      </c>
      <c r="Y24" s="11">
        <f>9087+18300</f>
        <v>27387</v>
      </c>
      <c r="Z24" s="11">
        <v>466721</v>
      </c>
      <c r="AA24" s="11">
        <v>490532</v>
      </c>
      <c r="AB24" s="11">
        <f>-310928-146068</f>
        <v>-456996</v>
      </c>
      <c r="AC24" s="11">
        <f>-545799-293735</f>
        <v>-839534</v>
      </c>
      <c r="AD24" s="11">
        <v>338570</v>
      </c>
      <c r="AE24" s="11">
        <v>850795</v>
      </c>
      <c r="AF24" s="11">
        <v>719036</v>
      </c>
      <c r="AG24" s="11">
        <v>762658</v>
      </c>
      <c r="AH24" s="11">
        <v>2919</v>
      </c>
      <c r="AI24" s="11">
        <v>5411</v>
      </c>
      <c r="AJ24" s="103">
        <f>2672+9942</f>
        <v>12614</v>
      </c>
      <c r="AK24" s="11">
        <f>4786+19264</f>
        <v>24050</v>
      </c>
      <c r="AL24" s="11">
        <v>-277579</v>
      </c>
      <c r="AM24" s="11">
        <v>-483930</v>
      </c>
      <c r="AN24" s="11"/>
      <c r="AO24" s="11"/>
      <c r="AP24" s="11">
        <v>203027.53099999999</v>
      </c>
      <c r="AQ24" s="11">
        <v>404481.41899999999</v>
      </c>
      <c r="AR24" s="11">
        <v>87303</v>
      </c>
      <c r="AS24" s="11">
        <v>173739</v>
      </c>
      <c r="AT24" s="11">
        <v>106737</v>
      </c>
      <c r="AU24" s="11">
        <v>150257</v>
      </c>
      <c r="AV24" s="11">
        <f>5+536</f>
        <v>541</v>
      </c>
      <c r="AW24" s="11">
        <f>10+814</f>
        <v>824</v>
      </c>
      <c r="AX24" s="11">
        <v>1082468</v>
      </c>
      <c r="AY24" s="11">
        <v>1631971</v>
      </c>
      <c r="AZ24" s="11"/>
      <c r="BA24" s="11"/>
      <c r="BB24" s="11"/>
      <c r="BC24" s="11"/>
      <c r="BD24" s="11">
        <v>-166376</v>
      </c>
      <c r="BE24" s="11">
        <v>-454171</v>
      </c>
      <c r="BF24" s="11">
        <v>114212</v>
      </c>
      <c r="BG24" s="11">
        <v>199453</v>
      </c>
      <c r="BH24" s="11">
        <v>22089</v>
      </c>
      <c r="BI24" s="11">
        <v>41771</v>
      </c>
      <c r="BJ24" s="11"/>
      <c r="BK24" s="11"/>
      <c r="BL24" s="11">
        <v>381630</v>
      </c>
      <c r="BM24" s="11">
        <v>847046</v>
      </c>
      <c r="BN24" s="11">
        <v>61003</v>
      </c>
      <c r="BO24" s="11">
        <v>121367</v>
      </c>
      <c r="BP24" s="11">
        <f>2156+6127</f>
        <v>8283</v>
      </c>
      <c r="BQ24" s="11">
        <f>10938+11474</f>
        <v>22412</v>
      </c>
      <c r="BR24" s="99">
        <f t="shared" si="4"/>
        <v>3137793.531</v>
      </c>
      <c r="BS24" s="99">
        <f t="shared" si="5"/>
        <v>5035750.4189999998</v>
      </c>
    </row>
    <row r="25" spans="1:71" x14ac:dyDescent="0.25">
      <c r="A25" s="32" t="s">
        <v>240</v>
      </c>
      <c r="B25" s="11">
        <v>-29706</v>
      </c>
      <c r="C25" s="11">
        <v>-47711</v>
      </c>
      <c r="D25" s="11"/>
      <c r="E25" s="11"/>
      <c r="F25" s="11"/>
      <c r="G25" s="11"/>
      <c r="H25" s="11"/>
      <c r="I25" s="11"/>
      <c r="J25" s="11">
        <v>1017342</v>
      </c>
      <c r="K25" s="11">
        <v>1034561</v>
      </c>
      <c r="L25" s="11">
        <v>285416</v>
      </c>
      <c r="M25" s="11">
        <v>590826</v>
      </c>
      <c r="N25" s="11">
        <v>48506</v>
      </c>
      <c r="O25" s="11">
        <v>162888</v>
      </c>
      <c r="P25" s="11"/>
      <c r="Q25" s="11"/>
      <c r="R25" s="11">
        <v>17570</v>
      </c>
      <c r="S25" s="11">
        <v>30522</v>
      </c>
      <c r="T25" s="11">
        <v>10767</v>
      </c>
      <c r="U25" s="11">
        <v>12908</v>
      </c>
      <c r="V25" s="11"/>
      <c r="W25" s="11"/>
      <c r="X25" s="11">
        <f>15428+157343</f>
        <v>172771</v>
      </c>
      <c r="Y25" s="11">
        <f>34373+312399</f>
        <v>346772</v>
      </c>
      <c r="Z25" s="11">
        <v>-313418</v>
      </c>
      <c r="AA25" s="11">
        <v>-234571</v>
      </c>
      <c r="AB25" s="11">
        <f>-251944+539248</f>
        <v>287304</v>
      </c>
      <c r="AC25" s="11">
        <f>-447786+1087259</f>
        <v>639473</v>
      </c>
      <c r="AD25" s="11">
        <v>1173434</v>
      </c>
      <c r="AE25" s="11">
        <v>2285785</v>
      </c>
      <c r="AF25" s="11">
        <v>105884</v>
      </c>
      <c r="AG25" s="11">
        <v>940700</v>
      </c>
      <c r="AH25" s="11">
        <v>46866</v>
      </c>
      <c r="AI25" s="11">
        <v>87976</v>
      </c>
      <c r="AJ25" s="103">
        <f>3294+300529</f>
        <v>303823</v>
      </c>
      <c r="AK25" s="11">
        <f>2769+539947</f>
        <v>542716</v>
      </c>
      <c r="AL25" s="11">
        <v>-144373</v>
      </c>
      <c r="AM25" s="11">
        <v>-219500</v>
      </c>
      <c r="AN25" s="11"/>
      <c r="AO25" s="11"/>
      <c r="AP25" s="11">
        <v>896315.72</v>
      </c>
      <c r="AQ25" s="11">
        <v>1749415.507</v>
      </c>
      <c r="AR25" s="11">
        <v>2473330</v>
      </c>
      <c r="AS25" s="11">
        <v>4832778</v>
      </c>
      <c r="AT25" s="11">
        <v>588333</v>
      </c>
      <c r="AU25" s="11">
        <v>1126159</v>
      </c>
      <c r="AV25" s="11">
        <f>27+1603</f>
        <v>1630</v>
      </c>
      <c r="AW25" s="11">
        <f>52+2088</f>
        <v>2140</v>
      </c>
      <c r="AX25" s="11">
        <v>-504786</v>
      </c>
      <c r="AY25" s="11">
        <v>-340106</v>
      </c>
      <c r="AZ25" s="11"/>
      <c r="BA25" s="11"/>
      <c r="BB25" s="11"/>
      <c r="BC25" s="11"/>
      <c r="BD25" s="11">
        <v>393780</v>
      </c>
      <c r="BE25" s="11">
        <v>628605</v>
      </c>
      <c r="BF25" s="11">
        <v>203678</v>
      </c>
      <c r="BG25" s="11">
        <v>393886</v>
      </c>
      <c r="BH25" s="11">
        <v>290413</v>
      </c>
      <c r="BI25" s="11">
        <v>485431</v>
      </c>
      <c r="BJ25" s="11"/>
      <c r="BK25" s="11"/>
      <c r="BL25" s="11">
        <v>486853</v>
      </c>
      <c r="BM25" s="11">
        <v>918793</v>
      </c>
      <c r="BN25" s="11">
        <v>843041</v>
      </c>
      <c r="BO25" s="11">
        <v>1624817</v>
      </c>
      <c r="BP25" s="11">
        <f>-332+156247</f>
        <v>155915</v>
      </c>
      <c r="BQ25" s="11">
        <f>-7931+305614</f>
        <v>297683</v>
      </c>
      <c r="BR25" s="99">
        <f t="shared" si="4"/>
        <v>8810688.7199999988</v>
      </c>
      <c r="BS25" s="99">
        <f t="shared" si="5"/>
        <v>17892946.506999999</v>
      </c>
    </row>
    <row r="26" spans="1:71" x14ac:dyDescent="0.25">
      <c r="A26" s="30"/>
    </row>
    <row r="27" spans="1:71" x14ac:dyDescent="0.25">
      <c r="A27" s="31" t="s">
        <v>233</v>
      </c>
    </row>
    <row r="28" spans="1:71" x14ac:dyDescent="0.25">
      <c r="A28" s="4" t="s">
        <v>0</v>
      </c>
      <c r="B28" s="105" t="s">
        <v>1</v>
      </c>
      <c r="C28" s="106"/>
      <c r="D28" s="105" t="s">
        <v>2</v>
      </c>
      <c r="E28" s="106"/>
      <c r="F28" s="105" t="s">
        <v>3</v>
      </c>
      <c r="G28" s="106"/>
      <c r="H28" s="105" t="s">
        <v>4</v>
      </c>
      <c r="I28" s="106"/>
      <c r="J28" s="105" t="s">
        <v>5</v>
      </c>
      <c r="K28" s="106"/>
      <c r="L28" s="105" t="s">
        <v>6</v>
      </c>
      <c r="M28" s="106"/>
      <c r="N28" s="105" t="s">
        <v>7</v>
      </c>
      <c r="O28" s="106"/>
      <c r="P28" s="105" t="s">
        <v>8</v>
      </c>
      <c r="Q28" s="106"/>
      <c r="R28" s="105" t="s">
        <v>9</v>
      </c>
      <c r="S28" s="106"/>
      <c r="T28" s="105" t="s">
        <v>10</v>
      </c>
      <c r="U28" s="106"/>
      <c r="V28" s="105" t="s">
        <v>11</v>
      </c>
      <c r="W28" s="106"/>
      <c r="X28" s="105" t="s">
        <v>12</v>
      </c>
      <c r="Y28" s="106"/>
      <c r="Z28" s="105" t="s">
        <v>13</v>
      </c>
      <c r="AA28" s="106"/>
      <c r="AB28" s="105" t="s">
        <v>14</v>
      </c>
      <c r="AC28" s="106"/>
      <c r="AD28" s="105" t="s">
        <v>15</v>
      </c>
      <c r="AE28" s="106"/>
      <c r="AF28" s="105" t="s">
        <v>16</v>
      </c>
      <c r="AG28" s="106"/>
      <c r="AH28" s="105" t="s">
        <v>17</v>
      </c>
      <c r="AI28" s="106"/>
      <c r="AJ28" s="105" t="s">
        <v>18</v>
      </c>
      <c r="AK28" s="106"/>
      <c r="AL28" s="105" t="s">
        <v>19</v>
      </c>
      <c r="AM28" s="106"/>
      <c r="AN28" s="105" t="s">
        <v>20</v>
      </c>
      <c r="AO28" s="106"/>
      <c r="AP28" s="105" t="s">
        <v>21</v>
      </c>
      <c r="AQ28" s="106"/>
      <c r="AR28" s="105" t="s">
        <v>22</v>
      </c>
      <c r="AS28" s="106"/>
      <c r="AT28" s="105" t="s">
        <v>23</v>
      </c>
      <c r="AU28" s="106"/>
      <c r="AV28" s="105" t="s">
        <v>24</v>
      </c>
      <c r="AW28" s="106"/>
      <c r="AX28" s="105" t="s">
        <v>25</v>
      </c>
      <c r="AY28" s="106"/>
      <c r="AZ28" s="105" t="s">
        <v>26</v>
      </c>
      <c r="BA28" s="106"/>
      <c r="BB28" s="105" t="s">
        <v>27</v>
      </c>
      <c r="BC28" s="106"/>
      <c r="BD28" s="105" t="s">
        <v>28</v>
      </c>
      <c r="BE28" s="106"/>
      <c r="BF28" s="105" t="s">
        <v>29</v>
      </c>
      <c r="BG28" s="106"/>
      <c r="BH28" s="105" t="s">
        <v>30</v>
      </c>
      <c r="BI28" s="106"/>
      <c r="BJ28" s="105" t="s">
        <v>31</v>
      </c>
      <c r="BK28" s="106"/>
      <c r="BL28" s="105" t="s">
        <v>32</v>
      </c>
      <c r="BM28" s="106"/>
      <c r="BN28" s="109" t="s">
        <v>33</v>
      </c>
      <c r="BO28" s="110"/>
      <c r="BP28" s="105" t="s">
        <v>34</v>
      </c>
      <c r="BQ28" s="106"/>
      <c r="BR28" s="107" t="s">
        <v>35</v>
      </c>
      <c r="BS28" s="108"/>
    </row>
    <row r="29" spans="1:71" ht="30" x14ac:dyDescent="0.25">
      <c r="A29" s="4"/>
      <c r="B29" s="76" t="s">
        <v>295</v>
      </c>
      <c r="C29" s="77" t="s">
        <v>296</v>
      </c>
      <c r="D29" s="76" t="s">
        <v>295</v>
      </c>
      <c r="E29" s="77" t="s">
        <v>296</v>
      </c>
      <c r="F29" s="76" t="s">
        <v>295</v>
      </c>
      <c r="G29" s="77" t="s">
        <v>296</v>
      </c>
      <c r="H29" s="76" t="s">
        <v>295</v>
      </c>
      <c r="I29" s="77" t="s">
        <v>296</v>
      </c>
      <c r="J29" s="76" t="s">
        <v>295</v>
      </c>
      <c r="K29" s="77" t="s">
        <v>296</v>
      </c>
      <c r="L29" s="76" t="s">
        <v>295</v>
      </c>
      <c r="M29" s="77" t="s">
        <v>296</v>
      </c>
      <c r="N29" s="76" t="s">
        <v>295</v>
      </c>
      <c r="O29" s="77" t="s">
        <v>296</v>
      </c>
      <c r="P29" s="76" t="s">
        <v>295</v>
      </c>
      <c r="Q29" s="77" t="s">
        <v>296</v>
      </c>
      <c r="R29" s="76" t="s">
        <v>295</v>
      </c>
      <c r="S29" s="77" t="s">
        <v>296</v>
      </c>
      <c r="T29" s="76" t="s">
        <v>295</v>
      </c>
      <c r="U29" s="77" t="s">
        <v>296</v>
      </c>
      <c r="V29" s="76" t="s">
        <v>295</v>
      </c>
      <c r="W29" s="77" t="s">
        <v>296</v>
      </c>
      <c r="X29" s="76" t="s">
        <v>295</v>
      </c>
      <c r="Y29" s="77" t="s">
        <v>296</v>
      </c>
      <c r="Z29" s="76" t="s">
        <v>295</v>
      </c>
      <c r="AA29" s="77" t="s">
        <v>296</v>
      </c>
      <c r="AB29" s="76" t="s">
        <v>295</v>
      </c>
      <c r="AC29" s="77" t="s">
        <v>296</v>
      </c>
      <c r="AD29" s="76" t="s">
        <v>295</v>
      </c>
      <c r="AE29" s="77" t="s">
        <v>296</v>
      </c>
      <c r="AF29" s="76" t="s">
        <v>295</v>
      </c>
      <c r="AG29" s="77" t="s">
        <v>296</v>
      </c>
      <c r="AH29" s="76" t="s">
        <v>295</v>
      </c>
      <c r="AI29" s="77" t="s">
        <v>296</v>
      </c>
      <c r="AJ29" s="76" t="s">
        <v>295</v>
      </c>
      <c r="AK29" s="77" t="s">
        <v>296</v>
      </c>
      <c r="AL29" s="76" t="s">
        <v>295</v>
      </c>
      <c r="AM29" s="77" t="s">
        <v>296</v>
      </c>
      <c r="AN29" s="76" t="s">
        <v>295</v>
      </c>
      <c r="AO29" s="77" t="s">
        <v>296</v>
      </c>
      <c r="AP29" s="76" t="s">
        <v>295</v>
      </c>
      <c r="AQ29" s="77" t="s">
        <v>296</v>
      </c>
      <c r="AR29" s="76" t="s">
        <v>295</v>
      </c>
      <c r="AS29" s="77" t="s">
        <v>296</v>
      </c>
      <c r="AT29" s="76" t="s">
        <v>295</v>
      </c>
      <c r="AU29" s="77" t="s">
        <v>296</v>
      </c>
      <c r="AV29" s="76" t="s">
        <v>295</v>
      </c>
      <c r="AW29" s="77" t="s">
        <v>296</v>
      </c>
      <c r="AX29" s="76" t="s">
        <v>295</v>
      </c>
      <c r="AY29" s="77" t="s">
        <v>296</v>
      </c>
      <c r="AZ29" s="76" t="s">
        <v>295</v>
      </c>
      <c r="BA29" s="77" t="s">
        <v>296</v>
      </c>
      <c r="BB29" s="76" t="s">
        <v>295</v>
      </c>
      <c r="BC29" s="77" t="s">
        <v>296</v>
      </c>
      <c r="BD29" s="76" t="s">
        <v>295</v>
      </c>
      <c r="BE29" s="77" t="s">
        <v>296</v>
      </c>
      <c r="BF29" s="76" t="s">
        <v>295</v>
      </c>
      <c r="BG29" s="77" t="s">
        <v>296</v>
      </c>
      <c r="BH29" s="76" t="s">
        <v>295</v>
      </c>
      <c r="BI29" s="77" t="s">
        <v>296</v>
      </c>
      <c r="BJ29" s="76" t="s">
        <v>295</v>
      </c>
      <c r="BK29" s="77" t="s">
        <v>296</v>
      </c>
      <c r="BL29" s="76" t="s">
        <v>295</v>
      </c>
      <c r="BM29" s="77" t="s">
        <v>296</v>
      </c>
      <c r="BN29" s="76" t="s">
        <v>295</v>
      </c>
      <c r="BO29" s="77" t="s">
        <v>296</v>
      </c>
      <c r="BP29" s="76" t="s">
        <v>295</v>
      </c>
      <c r="BQ29" s="77" t="s">
        <v>296</v>
      </c>
      <c r="BR29" s="95" t="s">
        <v>295</v>
      </c>
      <c r="BS29" s="96" t="s">
        <v>296</v>
      </c>
    </row>
    <row r="30" spans="1:71" x14ac:dyDescent="0.25">
      <c r="A30" s="32" t="s">
        <v>239</v>
      </c>
      <c r="B30" s="11"/>
      <c r="C30" s="11"/>
      <c r="D30" s="11"/>
      <c r="E30" s="11"/>
      <c r="F30" s="11"/>
      <c r="G30" s="11"/>
      <c r="H30" s="11"/>
      <c r="I30" s="11"/>
      <c r="J30" s="11">
        <v>27517</v>
      </c>
      <c r="K30" s="11">
        <v>25029</v>
      </c>
      <c r="L30" s="11">
        <v>4824</v>
      </c>
      <c r="M30" s="11">
        <v>12982</v>
      </c>
      <c r="N30" s="11">
        <v>6939</v>
      </c>
      <c r="O30" s="11">
        <v>14633</v>
      </c>
      <c r="P30" s="11"/>
      <c r="Q30" s="11"/>
      <c r="R30" s="11"/>
      <c r="S30" s="11"/>
      <c r="T30" s="11"/>
      <c r="U30" s="11"/>
      <c r="V30" s="11"/>
      <c r="W30" s="11"/>
      <c r="X30" s="11">
        <v>14368</v>
      </c>
      <c r="Y30" s="11">
        <v>29773</v>
      </c>
      <c r="Z30" s="11">
        <v>1486</v>
      </c>
      <c r="AA30" s="11">
        <v>2437</v>
      </c>
      <c r="AB30" s="11">
        <v>28158</v>
      </c>
      <c r="AC30" s="11">
        <v>63481</v>
      </c>
      <c r="AD30" s="11">
        <v>47371</v>
      </c>
      <c r="AE30" s="11">
        <v>121931</v>
      </c>
      <c r="AF30" s="11">
        <v>29168</v>
      </c>
      <c r="AG30" s="11">
        <v>57800</v>
      </c>
      <c r="AH30" s="11">
        <v>206</v>
      </c>
      <c r="AI30" s="11">
        <v>1565</v>
      </c>
      <c r="AJ30" s="103">
        <v>6804</v>
      </c>
      <c r="AK30" s="11">
        <v>15062</v>
      </c>
      <c r="AL30" s="11">
        <v>1941</v>
      </c>
      <c r="AM30" s="11">
        <v>2861</v>
      </c>
      <c r="AN30" s="11"/>
      <c r="AO30" s="11"/>
      <c r="AP30" s="11">
        <v>50054.076000000001</v>
      </c>
      <c r="AQ30" s="11">
        <v>113512.929</v>
      </c>
      <c r="AR30" s="11">
        <v>152493</v>
      </c>
      <c r="AS30" s="11">
        <v>300328</v>
      </c>
      <c r="AT30" s="11">
        <v>36139</v>
      </c>
      <c r="AU30" s="11">
        <v>81509</v>
      </c>
      <c r="AV30" s="11">
        <v>213</v>
      </c>
      <c r="AW30" s="11">
        <v>437</v>
      </c>
      <c r="AX30" s="11">
        <v>22212</v>
      </c>
      <c r="AY30" s="11">
        <v>54250</v>
      </c>
      <c r="AZ30" s="11"/>
      <c r="BA30" s="11"/>
      <c r="BB30" s="11"/>
      <c r="BC30" s="11"/>
      <c r="BD30" s="11">
        <v>16392</v>
      </c>
      <c r="BE30" s="11">
        <v>35991</v>
      </c>
      <c r="BF30" s="11">
        <v>5760</v>
      </c>
      <c r="BG30" s="11">
        <v>12767</v>
      </c>
      <c r="BH30" s="11">
        <v>4348</v>
      </c>
      <c r="BI30" s="11">
        <v>8089</v>
      </c>
      <c r="BJ30" s="11"/>
      <c r="BK30" s="11"/>
      <c r="BL30" s="11">
        <v>13285</v>
      </c>
      <c r="BM30" s="11">
        <v>32871</v>
      </c>
      <c r="BN30" s="11">
        <v>95364</v>
      </c>
      <c r="BO30" s="11">
        <v>159347</v>
      </c>
      <c r="BP30" s="11">
        <v>1778</v>
      </c>
      <c r="BQ30" s="11">
        <v>3287</v>
      </c>
      <c r="BR30" s="99">
        <f t="shared" ref="BR30:BR33" si="6">SUM(B30+D30+F30+H30+J30+L30+N30+P30+R30+T30+V30+X30+Z30+AB30+AD30+AF30+AH30+AJ30+AL30+AN30+AP30+AR30+AT30+AV30+AX30+AZ30+BB30+BD30+BF30+BH30+BJ30+BL30+BN30+BP30)</f>
        <v>566820.076</v>
      </c>
      <c r="BS30" s="99">
        <f t="shared" ref="BS30:BS33" si="7">SUM(C30+E30+G30+I30+K30+M30+O30+Q30+S30+U30+W30+Y30+AA30+AC30+AE30+AG30+AI30+AK30+AM30+AO30+AQ30+AS30+AU30+AW30+AY30+BA30+BC30+BE30+BG30+BI30+BK30+BM30+BO30+BQ30)</f>
        <v>1149942.929</v>
      </c>
    </row>
    <row r="31" spans="1:71" x14ac:dyDescent="0.25">
      <c r="A31" s="32" t="s">
        <v>290</v>
      </c>
      <c r="B31" s="11"/>
      <c r="C31" s="11"/>
      <c r="D31" s="11"/>
      <c r="E31" s="11"/>
      <c r="F31" s="11"/>
      <c r="G31" s="11"/>
      <c r="H31" s="11"/>
      <c r="I31" s="11"/>
      <c r="J31" s="11">
        <v>1831</v>
      </c>
      <c r="K31" s="11">
        <v>1991</v>
      </c>
      <c r="L31" s="11">
        <v>78</v>
      </c>
      <c r="M31" s="11">
        <v>139</v>
      </c>
      <c r="N31" s="11">
        <v>56</v>
      </c>
      <c r="O31" s="11">
        <v>171</v>
      </c>
      <c r="P31" s="11"/>
      <c r="Q31" s="11"/>
      <c r="R31" s="11">
        <v>24</v>
      </c>
      <c r="S31" s="11">
        <v>63</v>
      </c>
      <c r="T31" s="11">
        <v>130</v>
      </c>
      <c r="U31" s="11">
        <v>393</v>
      </c>
      <c r="V31" s="11"/>
      <c r="W31" s="11"/>
      <c r="X31" s="11">
        <v>795</v>
      </c>
      <c r="Y31" s="11">
        <v>1560</v>
      </c>
      <c r="Z31" s="11">
        <v>624</v>
      </c>
      <c r="AA31" s="11">
        <v>1667</v>
      </c>
      <c r="AB31" s="11">
        <v>1131</v>
      </c>
      <c r="AC31" s="11">
        <v>3611</v>
      </c>
      <c r="AD31" s="11">
        <v>9095</v>
      </c>
      <c r="AE31" s="11">
        <v>30488</v>
      </c>
      <c r="AF31" s="11">
        <v>73</v>
      </c>
      <c r="AG31" s="11">
        <v>165</v>
      </c>
      <c r="AH31" s="11">
        <v>15</v>
      </c>
      <c r="AI31" s="11">
        <v>44</v>
      </c>
      <c r="AJ31" s="103">
        <v>91</v>
      </c>
      <c r="AK31" s="11">
        <v>91</v>
      </c>
      <c r="AL31" s="11">
        <v>457</v>
      </c>
      <c r="AM31" s="11">
        <v>881</v>
      </c>
      <c r="AN31" s="11"/>
      <c r="AO31" s="11"/>
      <c r="AP31" s="11">
        <v>16290.217000000004</v>
      </c>
      <c r="AQ31" s="11">
        <v>32824.567000000003</v>
      </c>
      <c r="AR31" s="11">
        <v>25805</v>
      </c>
      <c r="AS31" s="11">
        <v>61105</v>
      </c>
      <c r="AT31" s="11">
        <v>34322</v>
      </c>
      <c r="AU31" s="11">
        <v>48851</v>
      </c>
      <c r="AV31" s="11">
        <v>4</v>
      </c>
      <c r="AW31" s="11">
        <v>4</v>
      </c>
      <c r="AX31" s="11">
        <v>508</v>
      </c>
      <c r="AY31" s="11">
        <v>1448</v>
      </c>
      <c r="AZ31" s="11"/>
      <c r="BA31" s="11"/>
      <c r="BB31" s="11"/>
      <c r="BC31" s="11"/>
      <c r="BD31" s="11">
        <v>1588</v>
      </c>
      <c r="BE31" s="11">
        <v>2300</v>
      </c>
      <c r="BF31" s="11">
        <v>532</v>
      </c>
      <c r="BG31" s="11">
        <v>532</v>
      </c>
      <c r="BH31" s="11">
        <v>238</v>
      </c>
      <c r="BI31" s="11">
        <v>628</v>
      </c>
      <c r="BJ31" s="11"/>
      <c r="BK31" s="11"/>
      <c r="BL31" s="11">
        <v>540</v>
      </c>
      <c r="BM31" s="11">
        <v>1204</v>
      </c>
      <c r="BN31" s="11">
        <v>2719</v>
      </c>
      <c r="BO31" s="11">
        <v>29862</v>
      </c>
      <c r="BP31" s="11">
        <v>119</v>
      </c>
      <c r="BQ31" s="11">
        <v>314</v>
      </c>
      <c r="BR31" s="99">
        <f t="shared" si="6"/>
        <v>97065.217000000004</v>
      </c>
      <c r="BS31" s="99">
        <f t="shared" si="7"/>
        <v>220336.56700000001</v>
      </c>
    </row>
    <row r="32" spans="1:71" x14ac:dyDescent="0.25">
      <c r="A32" s="32" t="s">
        <v>291</v>
      </c>
      <c r="B32" s="11"/>
      <c r="C32" s="11"/>
      <c r="D32" s="11"/>
      <c r="E32" s="11"/>
      <c r="F32" s="11"/>
      <c r="G32" s="11"/>
      <c r="H32" s="11"/>
      <c r="I32" s="11"/>
      <c r="J32" s="11">
        <v>60483</v>
      </c>
      <c r="K32" s="11">
        <v>56101</v>
      </c>
      <c r="L32" s="11">
        <v>14058</v>
      </c>
      <c r="M32" s="11">
        <v>29221</v>
      </c>
      <c r="N32" s="11">
        <v>5617</v>
      </c>
      <c r="O32" s="11">
        <v>13014</v>
      </c>
      <c r="P32" s="11"/>
      <c r="Q32" s="11"/>
      <c r="R32" s="11"/>
      <c r="S32" s="11"/>
      <c r="T32" s="11"/>
      <c r="U32" s="11">
        <v>68</v>
      </c>
      <c r="V32" s="11"/>
      <c r="W32" s="11"/>
      <c r="X32" s="11">
        <v>15720</v>
      </c>
      <c r="Y32" s="11">
        <v>36202</v>
      </c>
      <c r="Z32" s="11">
        <v>1463</v>
      </c>
      <c r="AA32" s="11">
        <v>3810</v>
      </c>
      <c r="AB32" s="11">
        <v>-62594</v>
      </c>
      <c r="AC32" s="11">
        <v>-139806</v>
      </c>
      <c r="AD32" s="11">
        <v>83982</v>
      </c>
      <c r="AE32" s="11">
        <v>210305</v>
      </c>
      <c r="AF32" s="11">
        <v>18390</v>
      </c>
      <c r="AG32" s="11">
        <v>42429</v>
      </c>
      <c r="AH32" s="11">
        <v>47</v>
      </c>
      <c r="AI32" s="11">
        <v>1203</v>
      </c>
      <c r="AJ32" s="103">
        <v>9135</v>
      </c>
      <c r="AK32" s="11">
        <v>18032</v>
      </c>
      <c r="AL32" s="11">
        <v>-2840</v>
      </c>
      <c r="AM32" s="11">
        <v>-4096</v>
      </c>
      <c r="AN32" s="11"/>
      <c r="AO32" s="11"/>
      <c r="AP32" s="11">
        <v>15378.791000000001</v>
      </c>
      <c r="AQ32" s="11">
        <v>39501.233</v>
      </c>
      <c r="AR32" s="11">
        <v>118352</v>
      </c>
      <c r="AS32" s="11">
        <v>203660</v>
      </c>
      <c r="AT32" s="11">
        <v>64628</v>
      </c>
      <c r="AU32" s="11">
        <v>91948</v>
      </c>
      <c r="AV32" s="11">
        <v>210</v>
      </c>
      <c r="AW32" s="11">
        <v>437</v>
      </c>
      <c r="AX32" s="11">
        <v>8869</v>
      </c>
      <c r="AY32" s="11">
        <v>16124</v>
      </c>
      <c r="AZ32" s="11"/>
      <c r="BA32" s="11"/>
      <c r="BB32" s="11"/>
      <c r="BC32" s="11"/>
      <c r="BD32" s="11">
        <v>-53103</v>
      </c>
      <c r="BE32" s="11">
        <v>-89650</v>
      </c>
      <c r="BF32" s="11">
        <v>8816</v>
      </c>
      <c r="BG32" s="11">
        <v>19352</v>
      </c>
      <c r="BH32" s="11">
        <v>4851</v>
      </c>
      <c r="BI32" s="11">
        <v>7853</v>
      </c>
      <c r="BJ32" s="11"/>
      <c r="BK32" s="11"/>
      <c r="BL32" s="11">
        <v>35346</v>
      </c>
      <c r="BM32" s="11">
        <v>67176</v>
      </c>
      <c r="BN32" s="11">
        <v>61917</v>
      </c>
      <c r="BO32" s="11">
        <v>97522</v>
      </c>
      <c r="BP32" s="11">
        <v>7506</v>
      </c>
      <c r="BQ32" s="11">
        <v>12426</v>
      </c>
      <c r="BR32" s="99">
        <f t="shared" si="6"/>
        <v>416231.79099999997</v>
      </c>
      <c r="BS32" s="99">
        <f t="shared" si="7"/>
        <v>732832.23300000001</v>
      </c>
    </row>
    <row r="33" spans="1:71" x14ac:dyDescent="0.25">
      <c r="A33" s="32" t="s">
        <v>240</v>
      </c>
      <c r="B33" s="11"/>
      <c r="C33" s="11"/>
      <c r="D33" s="11"/>
      <c r="E33" s="11"/>
      <c r="F33" s="11"/>
      <c r="G33" s="11"/>
      <c r="H33" s="11"/>
      <c r="I33" s="11"/>
      <c r="J33" s="11">
        <v>-31135</v>
      </c>
      <c r="K33" s="11">
        <v>-29081</v>
      </c>
      <c r="L33" s="11">
        <v>-9156</v>
      </c>
      <c r="M33" s="11">
        <v>-16100</v>
      </c>
      <c r="N33" s="11">
        <v>1378</v>
      </c>
      <c r="O33" s="11">
        <v>1790</v>
      </c>
      <c r="P33" s="11"/>
      <c r="Q33" s="11"/>
      <c r="R33" s="11">
        <v>24</v>
      </c>
      <c r="S33" s="11">
        <v>63</v>
      </c>
      <c r="T33" s="11">
        <v>130</v>
      </c>
      <c r="U33" s="11">
        <v>325</v>
      </c>
      <c r="V33" s="11"/>
      <c r="W33" s="11"/>
      <c r="X33" s="11">
        <v>-558</v>
      </c>
      <c r="Y33" s="11">
        <v>-4869</v>
      </c>
      <c r="Z33" s="11">
        <v>648</v>
      </c>
      <c r="AA33" s="11">
        <v>294</v>
      </c>
      <c r="AB33" s="11">
        <v>-33305</v>
      </c>
      <c r="AC33" s="11">
        <v>-72714</v>
      </c>
      <c r="AD33" s="11">
        <v>-27516</v>
      </c>
      <c r="AE33" s="11">
        <v>-57886</v>
      </c>
      <c r="AF33" s="11">
        <v>10851</v>
      </c>
      <c r="AG33" s="11">
        <v>15536</v>
      </c>
      <c r="AH33" s="11">
        <v>174</v>
      </c>
      <c r="AI33" s="11">
        <v>406</v>
      </c>
      <c r="AJ33" s="103">
        <v>-2240</v>
      </c>
      <c r="AK33" s="11">
        <v>-2879</v>
      </c>
      <c r="AL33" s="11">
        <v>-442</v>
      </c>
      <c r="AM33" s="11">
        <v>-354</v>
      </c>
      <c r="AN33" s="11"/>
      <c r="AO33" s="11"/>
      <c r="AP33" s="11">
        <v>50965.502000000008</v>
      </c>
      <c r="AQ33" s="11">
        <v>106836.26300000001</v>
      </c>
      <c r="AR33" s="11">
        <v>59946</v>
      </c>
      <c r="AS33" s="11">
        <v>157773</v>
      </c>
      <c r="AT33" s="11">
        <v>5833</v>
      </c>
      <c r="AU33" s="11">
        <v>38412</v>
      </c>
      <c r="AV33" s="11">
        <v>8</v>
      </c>
      <c r="AW33" s="11">
        <v>5</v>
      </c>
      <c r="AX33" s="11">
        <v>13851</v>
      </c>
      <c r="AY33" s="11">
        <v>39574</v>
      </c>
      <c r="AZ33" s="11"/>
      <c r="BA33" s="11"/>
      <c r="BB33" s="11"/>
      <c r="BC33" s="11"/>
      <c r="BD33" s="11">
        <v>-35123</v>
      </c>
      <c r="BE33" s="11">
        <v>-51359</v>
      </c>
      <c r="BF33" s="11">
        <v>-2524</v>
      </c>
      <c r="BG33" s="11">
        <v>-6053</v>
      </c>
      <c r="BH33" s="11">
        <v>-265</v>
      </c>
      <c r="BI33" s="11">
        <v>864</v>
      </c>
      <c r="BJ33" s="11"/>
      <c r="BK33" s="11"/>
      <c r="BL33" s="11">
        <v>-21521</v>
      </c>
      <c r="BM33" s="11">
        <v>-33101</v>
      </c>
      <c r="BN33" s="11">
        <v>36166</v>
      </c>
      <c r="BO33" s="11">
        <v>91687</v>
      </c>
      <c r="BP33" s="11">
        <v>-5609</v>
      </c>
      <c r="BQ33" s="11">
        <v>-8825</v>
      </c>
      <c r="BR33" s="99">
        <f t="shared" si="6"/>
        <v>10580.502000000008</v>
      </c>
      <c r="BS33" s="99">
        <f t="shared" si="7"/>
        <v>170344.26300000001</v>
      </c>
    </row>
    <row r="34" spans="1:71" x14ac:dyDescent="0.25">
      <c r="A34" s="30"/>
    </row>
    <row r="35" spans="1:71" x14ac:dyDescent="0.25">
      <c r="A35" s="31" t="s">
        <v>234</v>
      </c>
    </row>
    <row r="36" spans="1:71" x14ac:dyDescent="0.25">
      <c r="A36" s="4" t="s">
        <v>0</v>
      </c>
      <c r="B36" s="105" t="s">
        <v>1</v>
      </c>
      <c r="C36" s="106"/>
      <c r="D36" s="105" t="s">
        <v>2</v>
      </c>
      <c r="E36" s="106"/>
      <c r="F36" s="105" t="s">
        <v>3</v>
      </c>
      <c r="G36" s="106"/>
      <c r="H36" s="105" t="s">
        <v>4</v>
      </c>
      <c r="I36" s="106"/>
      <c r="J36" s="105" t="s">
        <v>5</v>
      </c>
      <c r="K36" s="106"/>
      <c r="L36" s="105" t="s">
        <v>6</v>
      </c>
      <c r="M36" s="106"/>
      <c r="N36" s="105" t="s">
        <v>7</v>
      </c>
      <c r="O36" s="106"/>
      <c r="P36" s="105" t="s">
        <v>8</v>
      </c>
      <c r="Q36" s="106"/>
      <c r="R36" s="105" t="s">
        <v>9</v>
      </c>
      <c r="S36" s="106"/>
      <c r="T36" s="105" t="s">
        <v>10</v>
      </c>
      <c r="U36" s="106"/>
      <c r="V36" s="105" t="s">
        <v>11</v>
      </c>
      <c r="W36" s="106"/>
      <c r="X36" s="105" t="s">
        <v>12</v>
      </c>
      <c r="Y36" s="106"/>
      <c r="Z36" s="105" t="s">
        <v>13</v>
      </c>
      <c r="AA36" s="106"/>
      <c r="AB36" s="105" t="s">
        <v>14</v>
      </c>
      <c r="AC36" s="106"/>
      <c r="AD36" s="105" t="s">
        <v>15</v>
      </c>
      <c r="AE36" s="106"/>
      <c r="AF36" s="105" t="s">
        <v>16</v>
      </c>
      <c r="AG36" s="106"/>
      <c r="AH36" s="105" t="s">
        <v>17</v>
      </c>
      <c r="AI36" s="106"/>
      <c r="AJ36" s="105" t="s">
        <v>18</v>
      </c>
      <c r="AK36" s="106"/>
      <c r="AL36" s="105" t="s">
        <v>19</v>
      </c>
      <c r="AM36" s="106"/>
      <c r="AN36" s="105" t="s">
        <v>20</v>
      </c>
      <c r="AO36" s="106"/>
      <c r="AP36" s="105" t="s">
        <v>21</v>
      </c>
      <c r="AQ36" s="106"/>
      <c r="AR36" s="105" t="s">
        <v>22</v>
      </c>
      <c r="AS36" s="106"/>
      <c r="AT36" s="105" t="s">
        <v>23</v>
      </c>
      <c r="AU36" s="106"/>
      <c r="AV36" s="105" t="s">
        <v>24</v>
      </c>
      <c r="AW36" s="106"/>
      <c r="AX36" s="105" t="s">
        <v>25</v>
      </c>
      <c r="AY36" s="106"/>
      <c r="AZ36" s="105" t="s">
        <v>26</v>
      </c>
      <c r="BA36" s="106"/>
      <c r="BB36" s="105" t="s">
        <v>27</v>
      </c>
      <c r="BC36" s="106"/>
      <c r="BD36" s="105" t="s">
        <v>28</v>
      </c>
      <c r="BE36" s="106"/>
      <c r="BF36" s="105" t="s">
        <v>29</v>
      </c>
      <c r="BG36" s="106"/>
      <c r="BH36" s="105" t="s">
        <v>30</v>
      </c>
      <c r="BI36" s="106"/>
      <c r="BJ36" s="105" t="s">
        <v>31</v>
      </c>
      <c r="BK36" s="106"/>
      <c r="BL36" s="105" t="s">
        <v>32</v>
      </c>
      <c r="BM36" s="106"/>
      <c r="BN36" s="109" t="s">
        <v>33</v>
      </c>
      <c r="BO36" s="110"/>
      <c r="BP36" s="105" t="s">
        <v>34</v>
      </c>
      <c r="BQ36" s="106"/>
      <c r="BR36" s="107" t="s">
        <v>35</v>
      </c>
      <c r="BS36" s="108"/>
    </row>
    <row r="37" spans="1:71" ht="30" x14ac:dyDescent="0.25">
      <c r="A37" s="4"/>
      <c r="B37" s="76" t="s">
        <v>295</v>
      </c>
      <c r="C37" s="77" t="s">
        <v>296</v>
      </c>
      <c r="D37" s="76" t="s">
        <v>295</v>
      </c>
      <c r="E37" s="77" t="s">
        <v>296</v>
      </c>
      <c r="F37" s="76" t="s">
        <v>295</v>
      </c>
      <c r="G37" s="77" t="s">
        <v>296</v>
      </c>
      <c r="H37" s="76" t="s">
        <v>295</v>
      </c>
      <c r="I37" s="77" t="s">
        <v>296</v>
      </c>
      <c r="J37" s="76" t="s">
        <v>295</v>
      </c>
      <c r="K37" s="77" t="s">
        <v>296</v>
      </c>
      <c r="L37" s="76" t="s">
        <v>295</v>
      </c>
      <c r="M37" s="77" t="s">
        <v>296</v>
      </c>
      <c r="N37" s="76" t="s">
        <v>295</v>
      </c>
      <c r="O37" s="77" t="s">
        <v>296</v>
      </c>
      <c r="P37" s="76" t="s">
        <v>295</v>
      </c>
      <c r="Q37" s="77" t="s">
        <v>296</v>
      </c>
      <c r="R37" s="76" t="s">
        <v>295</v>
      </c>
      <c r="S37" s="77" t="s">
        <v>296</v>
      </c>
      <c r="T37" s="76" t="s">
        <v>295</v>
      </c>
      <c r="U37" s="77" t="s">
        <v>296</v>
      </c>
      <c r="V37" s="76" t="s">
        <v>295</v>
      </c>
      <c r="W37" s="77" t="s">
        <v>296</v>
      </c>
      <c r="X37" s="76" t="s">
        <v>295</v>
      </c>
      <c r="Y37" s="77" t="s">
        <v>296</v>
      </c>
      <c r="Z37" s="76" t="s">
        <v>295</v>
      </c>
      <c r="AA37" s="77" t="s">
        <v>296</v>
      </c>
      <c r="AB37" s="76" t="s">
        <v>295</v>
      </c>
      <c r="AC37" s="77" t="s">
        <v>296</v>
      </c>
      <c r="AD37" s="76" t="s">
        <v>295</v>
      </c>
      <c r="AE37" s="77" t="s">
        <v>296</v>
      </c>
      <c r="AF37" s="76" t="s">
        <v>295</v>
      </c>
      <c r="AG37" s="77" t="s">
        <v>296</v>
      </c>
      <c r="AH37" s="76" t="s">
        <v>295</v>
      </c>
      <c r="AI37" s="77" t="s">
        <v>296</v>
      </c>
      <c r="AJ37" s="76" t="s">
        <v>295</v>
      </c>
      <c r="AK37" s="77" t="s">
        <v>296</v>
      </c>
      <c r="AL37" s="76" t="s">
        <v>295</v>
      </c>
      <c r="AM37" s="77" t="s">
        <v>296</v>
      </c>
      <c r="AN37" s="76" t="s">
        <v>295</v>
      </c>
      <c r="AO37" s="77" t="s">
        <v>296</v>
      </c>
      <c r="AP37" s="76" t="s">
        <v>295</v>
      </c>
      <c r="AQ37" s="77" t="s">
        <v>296</v>
      </c>
      <c r="AR37" s="76" t="s">
        <v>295</v>
      </c>
      <c r="AS37" s="77" t="s">
        <v>296</v>
      </c>
      <c r="AT37" s="76" t="s">
        <v>295</v>
      </c>
      <c r="AU37" s="77" t="s">
        <v>296</v>
      </c>
      <c r="AV37" s="76" t="s">
        <v>295</v>
      </c>
      <c r="AW37" s="77" t="s">
        <v>296</v>
      </c>
      <c r="AX37" s="76" t="s">
        <v>295</v>
      </c>
      <c r="AY37" s="77" t="s">
        <v>296</v>
      </c>
      <c r="AZ37" s="76" t="s">
        <v>295</v>
      </c>
      <c r="BA37" s="77" t="s">
        <v>296</v>
      </c>
      <c r="BB37" s="76" t="s">
        <v>295</v>
      </c>
      <c r="BC37" s="77" t="s">
        <v>296</v>
      </c>
      <c r="BD37" s="76" t="s">
        <v>295</v>
      </c>
      <c r="BE37" s="77" t="s">
        <v>296</v>
      </c>
      <c r="BF37" s="76" t="s">
        <v>295</v>
      </c>
      <c r="BG37" s="77" t="s">
        <v>296</v>
      </c>
      <c r="BH37" s="76" t="s">
        <v>295</v>
      </c>
      <c r="BI37" s="77" t="s">
        <v>296</v>
      </c>
      <c r="BJ37" s="76" t="s">
        <v>295</v>
      </c>
      <c r="BK37" s="77" t="s">
        <v>296</v>
      </c>
      <c r="BL37" s="76" t="s">
        <v>295</v>
      </c>
      <c r="BM37" s="77" t="s">
        <v>296</v>
      </c>
      <c r="BN37" s="76" t="s">
        <v>295</v>
      </c>
      <c r="BO37" s="77" t="s">
        <v>296</v>
      </c>
      <c r="BP37" s="76" t="s">
        <v>295</v>
      </c>
      <c r="BQ37" s="77" t="s">
        <v>296</v>
      </c>
      <c r="BR37" s="95" t="s">
        <v>295</v>
      </c>
      <c r="BS37" s="96" t="s">
        <v>296</v>
      </c>
    </row>
    <row r="38" spans="1:71" x14ac:dyDescent="0.25">
      <c r="A38" s="32" t="s">
        <v>239</v>
      </c>
      <c r="B38" s="11">
        <v>7</v>
      </c>
      <c r="C38" s="11">
        <v>9</v>
      </c>
      <c r="D38" s="11">
        <v>193635</v>
      </c>
      <c r="E38" s="11">
        <v>350385</v>
      </c>
      <c r="F38" s="11"/>
      <c r="G38" s="11"/>
      <c r="H38" s="11">
        <v>700089</v>
      </c>
      <c r="I38" s="11">
        <v>1175144</v>
      </c>
      <c r="J38" s="11">
        <v>377410</v>
      </c>
      <c r="K38" s="11">
        <v>417824</v>
      </c>
      <c r="L38" s="11">
        <v>83006</v>
      </c>
      <c r="M38" s="11">
        <v>186006</v>
      </c>
      <c r="N38" s="11">
        <v>125493</v>
      </c>
      <c r="O38" s="11">
        <v>227785</v>
      </c>
      <c r="P38" s="11">
        <v>140327</v>
      </c>
      <c r="Q38" s="11">
        <v>297504</v>
      </c>
      <c r="R38" s="11">
        <v>7607</v>
      </c>
      <c r="S38" s="11">
        <v>15773</v>
      </c>
      <c r="T38" s="11">
        <v>12566</v>
      </c>
      <c r="U38" s="11">
        <v>15871</v>
      </c>
      <c r="V38" s="11"/>
      <c r="W38" s="11"/>
      <c r="X38" s="11">
        <v>46698</v>
      </c>
      <c r="Y38" s="11">
        <v>93765</v>
      </c>
      <c r="Z38" s="11">
        <v>828</v>
      </c>
      <c r="AA38" s="11">
        <v>1652</v>
      </c>
      <c r="AB38" s="11">
        <v>411487</v>
      </c>
      <c r="AC38" s="11">
        <v>769379</v>
      </c>
      <c r="AD38" s="11">
        <v>609731</v>
      </c>
      <c r="AE38" s="11">
        <v>1196922</v>
      </c>
      <c r="AF38" s="11">
        <v>160618</v>
      </c>
      <c r="AG38" s="11">
        <v>364331</v>
      </c>
      <c r="AH38" s="11">
        <v>25661</v>
      </c>
      <c r="AI38" s="11">
        <v>45082</v>
      </c>
      <c r="AJ38" s="103">
        <v>47961</v>
      </c>
      <c r="AK38" s="11">
        <v>107512</v>
      </c>
      <c r="AL38" s="11">
        <v>11153</v>
      </c>
      <c r="AM38" s="11">
        <v>26806</v>
      </c>
      <c r="AN38" s="11">
        <v>330020</v>
      </c>
      <c r="AO38" s="11">
        <v>611351</v>
      </c>
      <c r="AP38" s="11">
        <v>878322.70899999992</v>
      </c>
      <c r="AQ38" s="11">
        <v>1524773.977</v>
      </c>
      <c r="AR38" s="11">
        <v>1409024</v>
      </c>
      <c r="AS38" s="11">
        <v>2853261</v>
      </c>
      <c r="AT38" s="11">
        <v>717897</v>
      </c>
      <c r="AU38" s="11">
        <v>1273983</v>
      </c>
      <c r="AV38" s="11">
        <v>53</v>
      </c>
      <c r="AW38" s="11">
        <v>79</v>
      </c>
      <c r="AX38" s="11">
        <v>103729</v>
      </c>
      <c r="AY38" s="11">
        <v>309898</v>
      </c>
      <c r="AZ38" s="11">
        <v>1973</v>
      </c>
      <c r="BA38" s="11">
        <v>4342</v>
      </c>
      <c r="BB38" s="11">
        <v>555689</v>
      </c>
      <c r="BC38" s="11">
        <v>1006144</v>
      </c>
      <c r="BD38" s="11">
        <v>103664</v>
      </c>
      <c r="BE38" s="11">
        <v>193596</v>
      </c>
      <c r="BF38" s="11">
        <v>189152</v>
      </c>
      <c r="BG38" s="11">
        <v>374724</v>
      </c>
      <c r="BH38" s="11">
        <v>267</v>
      </c>
      <c r="BI38" s="11">
        <v>462</v>
      </c>
      <c r="BJ38" s="11"/>
      <c r="BK38" s="11"/>
      <c r="BL38" s="11">
        <v>249803</v>
      </c>
      <c r="BM38" s="11">
        <v>452923</v>
      </c>
      <c r="BN38" s="11">
        <v>702965</v>
      </c>
      <c r="BO38" s="11">
        <v>1046695</v>
      </c>
      <c r="BP38" s="11">
        <v>50667</v>
      </c>
      <c r="BQ38" s="11">
        <v>100607</v>
      </c>
      <c r="BR38" s="99">
        <f t="shared" ref="BR38:BR41" si="8">SUM(B38+D38+F38+H38+J38+L38+N38+P38+R38+T38+V38+X38+Z38+AB38+AD38+AF38+AH38+AJ38+AL38+AN38+AP38+AR38+AT38+AV38+AX38+AZ38+BB38+BD38+BF38+BH38+BJ38+BL38+BN38+BP38)</f>
        <v>8247502.7089999998</v>
      </c>
      <c r="BS38" s="99">
        <f t="shared" ref="BS38:BS41" si="9">SUM(C38+E38+G38+I38+K38+M38+O38+Q38+S38+U38+W38+Y38+AA38+AC38+AE38+AG38+AI38+AK38+AM38+AO38+AQ38+AS38+AU38+AW38+AY38+BA38+BC38+BE38+BG38+BI38+BK38+BM38+BO38+BQ38)</f>
        <v>15044588.977</v>
      </c>
    </row>
    <row r="39" spans="1:71" x14ac:dyDescent="0.25">
      <c r="A39" s="32" t="s">
        <v>290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v>1464</v>
      </c>
      <c r="U39" s="11">
        <v>1518</v>
      </c>
      <c r="V39" s="11"/>
      <c r="W39" s="11"/>
      <c r="X39" s="11"/>
      <c r="Y39" s="11"/>
      <c r="Z39" s="11"/>
      <c r="AA39" s="11"/>
      <c r="AB39" s="11"/>
      <c r="AC39" s="11"/>
      <c r="AD39" s="11">
        <v>59227</v>
      </c>
      <c r="AE39" s="11">
        <v>89854</v>
      </c>
      <c r="AF39" s="11"/>
      <c r="AG39" s="11"/>
      <c r="AH39" s="11"/>
      <c r="AI39" s="11"/>
      <c r="AJ39" s="103"/>
      <c r="AK39" s="11"/>
      <c r="AL39" s="11"/>
      <c r="AM39" s="11"/>
      <c r="AN39" s="11"/>
      <c r="AO39" s="11"/>
      <c r="AP39" s="11">
        <v>0</v>
      </c>
      <c r="AQ39" s="11">
        <v>0</v>
      </c>
      <c r="AR39" s="11">
        <v>0</v>
      </c>
      <c r="AS39" s="11">
        <v>0</v>
      </c>
      <c r="AT39" s="11">
        <v>2544</v>
      </c>
      <c r="AU39" s="11">
        <v>15805</v>
      </c>
      <c r="AV39" s="11"/>
      <c r="AW39" s="11"/>
      <c r="AX39" s="11"/>
      <c r="AY39" s="11"/>
      <c r="AZ39" s="11"/>
      <c r="BA39" s="11"/>
      <c r="BB39" s="11">
        <v>185</v>
      </c>
      <c r="BC39" s="11">
        <v>1312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>
        <v>0</v>
      </c>
      <c r="BO39" s="11">
        <v>0</v>
      </c>
      <c r="BP39" s="11"/>
      <c r="BQ39" s="11"/>
      <c r="BR39" s="99">
        <f t="shared" si="8"/>
        <v>63420</v>
      </c>
      <c r="BS39" s="99">
        <f t="shared" si="9"/>
        <v>108489</v>
      </c>
    </row>
    <row r="40" spans="1:71" x14ac:dyDescent="0.25">
      <c r="A40" s="32" t="s">
        <v>291</v>
      </c>
      <c r="B40" s="11">
        <v>1137</v>
      </c>
      <c r="C40" s="11">
        <v>2003</v>
      </c>
      <c r="D40" s="11">
        <v>180925</v>
      </c>
      <c r="E40" s="11">
        <v>188214</v>
      </c>
      <c r="F40" s="11"/>
      <c r="G40" s="11"/>
      <c r="H40" s="11">
        <v>457289</v>
      </c>
      <c r="I40" s="11">
        <v>837604</v>
      </c>
      <c r="J40" s="11">
        <v>331874</v>
      </c>
      <c r="K40" s="11">
        <v>166527</v>
      </c>
      <c r="L40" s="11">
        <v>76469</v>
      </c>
      <c r="M40" s="11">
        <v>155384</v>
      </c>
      <c r="N40" s="11">
        <v>83748</v>
      </c>
      <c r="O40" s="11">
        <v>171169</v>
      </c>
      <c r="P40" s="11">
        <v>11342</v>
      </c>
      <c r="Q40" s="11">
        <v>19155</v>
      </c>
      <c r="R40" s="11">
        <v>-13078</v>
      </c>
      <c r="S40" s="11">
        <v>-24068</v>
      </c>
      <c r="T40" s="11">
        <v>-2126</v>
      </c>
      <c r="U40" s="11">
        <v>47332</v>
      </c>
      <c r="V40" s="11"/>
      <c r="W40" s="11"/>
      <c r="X40" s="11">
        <v>20669</v>
      </c>
      <c r="Y40" s="11">
        <v>51216</v>
      </c>
      <c r="Z40" s="11">
        <v>350</v>
      </c>
      <c r="AA40" s="11">
        <v>788</v>
      </c>
      <c r="AB40" s="11">
        <v>-901506</v>
      </c>
      <c r="AC40" s="11">
        <v>-1687436</v>
      </c>
      <c r="AD40" s="11">
        <v>1284372</v>
      </c>
      <c r="AE40" s="11">
        <v>2521082</v>
      </c>
      <c r="AF40" s="11">
        <v>40406</v>
      </c>
      <c r="AG40" s="11">
        <v>72545</v>
      </c>
      <c r="AH40" s="11">
        <v>2563</v>
      </c>
      <c r="AI40" s="11">
        <v>5410</v>
      </c>
      <c r="AJ40" s="103">
        <v>2770</v>
      </c>
      <c r="AK40" s="11">
        <v>7300</v>
      </c>
      <c r="AL40" s="11">
        <v>-20156</v>
      </c>
      <c r="AM40" s="11">
        <v>-55983</v>
      </c>
      <c r="AN40" s="11">
        <v>309483</v>
      </c>
      <c r="AO40" s="11">
        <v>655137</v>
      </c>
      <c r="AP40" s="11">
        <v>300774.92300000001</v>
      </c>
      <c r="AQ40" s="11">
        <v>390934.54200000002</v>
      </c>
      <c r="AR40" s="11">
        <v>221746</v>
      </c>
      <c r="AS40" s="11">
        <v>472779</v>
      </c>
      <c r="AT40" s="11">
        <v>103307</v>
      </c>
      <c r="AU40" s="11">
        <v>143376</v>
      </c>
      <c r="AV40" s="11">
        <v>2</v>
      </c>
      <c r="AW40" s="11">
        <v>6</v>
      </c>
      <c r="AX40" s="11">
        <v>-52145</v>
      </c>
      <c r="AY40" s="11">
        <v>122383</v>
      </c>
      <c r="AZ40" s="11">
        <v>4211</v>
      </c>
      <c r="BA40" s="11">
        <v>9818</v>
      </c>
      <c r="BB40" s="11">
        <v>644872</v>
      </c>
      <c r="BC40" s="11">
        <v>1276732</v>
      </c>
      <c r="BD40" s="11">
        <v>-59781</v>
      </c>
      <c r="BE40" s="11">
        <v>-118988</v>
      </c>
      <c r="BF40" s="11">
        <v>10351</v>
      </c>
      <c r="BG40" s="11">
        <v>20329</v>
      </c>
      <c r="BH40" s="11">
        <v>31</v>
      </c>
      <c r="BI40" s="11">
        <v>50</v>
      </c>
      <c r="BJ40" s="11"/>
      <c r="BK40" s="11"/>
      <c r="BL40" s="11">
        <v>534912</v>
      </c>
      <c r="BM40" s="11">
        <v>1054413</v>
      </c>
      <c r="BN40" s="11">
        <v>62384</v>
      </c>
      <c r="BO40" s="11">
        <v>122434</v>
      </c>
      <c r="BP40" s="11">
        <v>5057</v>
      </c>
      <c r="BQ40" s="11">
        <v>8728</v>
      </c>
      <c r="BR40" s="99">
        <f t="shared" si="8"/>
        <v>3642252.923</v>
      </c>
      <c r="BS40" s="99">
        <f t="shared" si="9"/>
        <v>6636373.5419999994</v>
      </c>
    </row>
    <row r="41" spans="1:71" x14ac:dyDescent="0.25">
      <c r="A41" s="32" t="s">
        <v>240</v>
      </c>
      <c r="B41" s="11">
        <v>-1130</v>
      </c>
      <c r="C41" s="11">
        <v>-1994</v>
      </c>
      <c r="D41" s="11">
        <v>12710</v>
      </c>
      <c r="E41" s="11">
        <v>162171</v>
      </c>
      <c r="F41" s="11"/>
      <c r="G41" s="11"/>
      <c r="H41" s="11">
        <v>242800</v>
      </c>
      <c r="I41" s="11">
        <v>337540</v>
      </c>
      <c r="J41" s="11">
        <v>45536</v>
      </c>
      <c r="K41" s="11">
        <v>251297</v>
      </c>
      <c r="L41" s="11">
        <v>6538</v>
      </c>
      <c r="M41" s="11">
        <v>30622</v>
      </c>
      <c r="N41" s="11">
        <v>41745</v>
      </c>
      <c r="O41" s="11">
        <v>56616</v>
      </c>
      <c r="P41" s="11">
        <v>128985</v>
      </c>
      <c r="Q41" s="11">
        <v>278349</v>
      </c>
      <c r="R41" s="11">
        <v>-5471</v>
      </c>
      <c r="S41" s="11">
        <v>-8295</v>
      </c>
      <c r="T41" s="11">
        <v>16156</v>
      </c>
      <c r="U41" s="11">
        <v>-29943</v>
      </c>
      <c r="V41" s="11"/>
      <c r="W41" s="11"/>
      <c r="X41" s="11">
        <v>26029</v>
      </c>
      <c r="Y41" s="11">
        <v>42549</v>
      </c>
      <c r="Z41" s="11">
        <v>478</v>
      </c>
      <c r="AA41" s="11">
        <v>864</v>
      </c>
      <c r="AB41" s="11">
        <v>-490019</v>
      </c>
      <c r="AC41" s="11">
        <v>-918057</v>
      </c>
      <c r="AD41" s="11">
        <v>-615414</v>
      </c>
      <c r="AE41" s="11">
        <v>-1234306</v>
      </c>
      <c r="AF41" s="11">
        <v>120212</v>
      </c>
      <c r="AG41" s="11">
        <v>291786</v>
      </c>
      <c r="AH41" s="11">
        <v>23098</v>
      </c>
      <c r="AI41" s="11">
        <v>39672</v>
      </c>
      <c r="AJ41" s="103">
        <v>45190</v>
      </c>
      <c r="AK41" s="11">
        <v>100211</v>
      </c>
      <c r="AL41" s="11">
        <v>-9003</v>
      </c>
      <c r="AM41" s="11">
        <v>-29177</v>
      </c>
      <c r="AN41" s="11">
        <v>20537</v>
      </c>
      <c r="AO41" s="11">
        <v>-43786</v>
      </c>
      <c r="AP41" s="11">
        <v>577547.78599999985</v>
      </c>
      <c r="AQ41" s="11">
        <v>1133839.4350000001</v>
      </c>
      <c r="AR41" s="11">
        <v>1187278</v>
      </c>
      <c r="AS41" s="11">
        <v>2380482</v>
      </c>
      <c r="AT41" s="11">
        <v>617134</v>
      </c>
      <c r="AU41" s="11">
        <v>1146412</v>
      </c>
      <c r="AV41" s="11">
        <v>50</v>
      </c>
      <c r="AW41" s="11">
        <v>73</v>
      </c>
      <c r="AX41" s="11">
        <v>155874</v>
      </c>
      <c r="AY41" s="11">
        <v>187515</v>
      </c>
      <c r="AZ41" s="11">
        <v>-2238</v>
      </c>
      <c r="BA41" s="11">
        <v>-5476</v>
      </c>
      <c r="BB41" s="11">
        <v>-88998</v>
      </c>
      <c r="BC41" s="11">
        <v>-269276</v>
      </c>
      <c r="BD41" s="11">
        <v>43883</v>
      </c>
      <c r="BE41" s="11">
        <v>74608</v>
      </c>
      <c r="BF41" s="11">
        <v>178801</v>
      </c>
      <c r="BG41" s="11">
        <v>354395</v>
      </c>
      <c r="BH41" s="11">
        <v>235</v>
      </c>
      <c r="BI41" s="11">
        <v>412</v>
      </c>
      <c r="BJ41" s="11"/>
      <c r="BK41" s="11"/>
      <c r="BL41" s="11">
        <v>-285109</v>
      </c>
      <c r="BM41" s="11">
        <v>-601490</v>
      </c>
      <c r="BN41" s="11">
        <v>640581</v>
      </c>
      <c r="BO41" s="11">
        <v>924261</v>
      </c>
      <c r="BP41" s="11">
        <v>45610</v>
      </c>
      <c r="BQ41" s="11">
        <v>91879</v>
      </c>
      <c r="BR41" s="99">
        <f t="shared" si="8"/>
        <v>2679625.7859999998</v>
      </c>
      <c r="BS41" s="99">
        <f t="shared" si="9"/>
        <v>4743753.4350000005</v>
      </c>
    </row>
    <row r="42" spans="1:71" x14ac:dyDescent="0.25">
      <c r="A42" s="30"/>
    </row>
    <row r="43" spans="1:71" x14ac:dyDescent="0.25">
      <c r="A43" s="31" t="s">
        <v>235</v>
      </c>
    </row>
    <row r="44" spans="1:71" x14ac:dyDescent="0.25">
      <c r="A44" s="4" t="s">
        <v>0</v>
      </c>
      <c r="B44" s="105" t="s">
        <v>1</v>
      </c>
      <c r="C44" s="106"/>
      <c r="D44" s="105" t="s">
        <v>2</v>
      </c>
      <c r="E44" s="106"/>
      <c r="F44" s="105" t="s">
        <v>3</v>
      </c>
      <c r="G44" s="106"/>
      <c r="H44" s="105" t="s">
        <v>4</v>
      </c>
      <c r="I44" s="106"/>
      <c r="J44" s="105" t="s">
        <v>5</v>
      </c>
      <c r="K44" s="106"/>
      <c r="L44" s="105" t="s">
        <v>6</v>
      </c>
      <c r="M44" s="106"/>
      <c r="N44" s="105" t="s">
        <v>7</v>
      </c>
      <c r="O44" s="106"/>
      <c r="P44" s="105" t="s">
        <v>8</v>
      </c>
      <c r="Q44" s="106"/>
      <c r="R44" s="105" t="s">
        <v>9</v>
      </c>
      <c r="S44" s="106"/>
      <c r="T44" s="105" t="s">
        <v>10</v>
      </c>
      <c r="U44" s="106"/>
      <c r="V44" s="105" t="s">
        <v>11</v>
      </c>
      <c r="W44" s="106"/>
      <c r="X44" s="105" t="s">
        <v>12</v>
      </c>
      <c r="Y44" s="106"/>
      <c r="Z44" s="105" t="s">
        <v>13</v>
      </c>
      <c r="AA44" s="106"/>
      <c r="AB44" s="105" t="s">
        <v>14</v>
      </c>
      <c r="AC44" s="106"/>
      <c r="AD44" s="105" t="s">
        <v>15</v>
      </c>
      <c r="AE44" s="106"/>
      <c r="AF44" s="105" t="s">
        <v>16</v>
      </c>
      <c r="AG44" s="106"/>
      <c r="AH44" s="105" t="s">
        <v>17</v>
      </c>
      <c r="AI44" s="106"/>
      <c r="AJ44" s="105" t="s">
        <v>18</v>
      </c>
      <c r="AK44" s="106"/>
      <c r="AL44" s="105" t="s">
        <v>19</v>
      </c>
      <c r="AM44" s="106"/>
      <c r="AN44" s="105" t="s">
        <v>20</v>
      </c>
      <c r="AO44" s="106"/>
      <c r="AP44" s="105" t="s">
        <v>21</v>
      </c>
      <c r="AQ44" s="106"/>
      <c r="AR44" s="105" t="s">
        <v>22</v>
      </c>
      <c r="AS44" s="106"/>
      <c r="AT44" s="105" t="s">
        <v>23</v>
      </c>
      <c r="AU44" s="106"/>
      <c r="AV44" s="105" t="s">
        <v>24</v>
      </c>
      <c r="AW44" s="106"/>
      <c r="AX44" s="105" t="s">
        <v>25</v>
      </c>
      <c r="AY44" s="106"/>
      <c r="AZ44" s="105" t="s">
        <v>26</v>
      </c>
      <c r="BA44" s="106"/>
      <c r="BB44" s="105" t="s">
        <v>27</v>
      </c>
      <c r="BC44" s="106"/>
      <c r="BD44" s="105" t="s">
        <v>28</v>
      </c>
      <c r="BE44" s="106"/>
      <c r="BF44" s="105" t="s">
        <v>29</v>
      </c>
      <c r="BG44" s="106"/>
      <c r="BH44" s="105" t="s">
        <v>30</v>
      </c>
      <c r="BI44" s="106"/>
      <c r="BJ44" s="105" t="s">
        <v>31</v>
      </c>
      <c r="BK44" s="106"/>
      <c r="BL44" s="105" t="s">
        <v>32</v>
      </c>
      <c r="BM44" s="106"/>
      <c r="BN44" s="109" t="s">
        <v>33</v>
      </c>
      <c r="BO44" s="110"/>
      <c r="BP44" s="105" t="s">
        <v>34</v>
      </c>
      <c r="BQ44" s="106"/>
      <c r="BR44" s="107" t="s">
        <v>35</v>
      </c>
      <c r="BS44" s="108"/>
    </row>
    <row r="45" spans="1:71" ht="30" x14ac:dyDescent="0.25">
      <c r="A45" s="4"/>
      <c r="B45" s="76" t="s">
        <v>295</v>
      </c>
      <c r="C45" s="77" t="s">
        <v>296</v>
      </c>
      <c r="D45" s="76" t="s">
        <v>295</v>
      </c>
      <c r="E45" s="77" t="s">
        <v>296</v>
      </c>
      <c r="F45" s="76" t="s">
        <v>295</v>
      </c>
      <c r="G45" s="77" t="s">
        <v>296</v>
      </c>
      <c r="H45" s="76" t="s">
        <v>295</v>
      </c>
      <c r="I45" s="77" t="s">
        <v>296</v>
      </c>
      <c r="J45" s="76" t="s">
        <v>295</v>
      </c>
      <c r="K45" s="77" t="s">
        <v>296</v>
      </c>
      <c r="L45" s="76" t="s">
        <v>295</v>
      </c>
      <c r="M45" s="77" t="s">
        <v>296</v>
      </c>
      <c r="N45" s="76" t="s">
        <v>295</v>
      </c>
      <c r="O45" s="77" t="s">
        <v>296</v>
      </c>
      <c r="P45" s="76" t="s">
        <v>295</v>
      </c>
      <c r="Q45" s="77" t="s">
        <v>296</v>
      </c>
      <c r="R45" s="76" t="s">
        <v>295</v>
      </c>
      <c r="S45" s="77" t="s">
        <v>296</v>
      </c>
      <c r="T45" s="76" t="s">
        <v>295</v>
      </c>
      <c r="U45" s="77" t="s">
        <v>296</v>
      </c>
      <c r="V45" s="76" t="s">
        <v>295</v>
      </c>
      <c r="W45" s="77" t="s">
        <v>296</v>
      </c>
      <c r="X45" s="76" t="s">
        <v>295</v>
      </c>
      <c r="Y45" s="77" t="s">
        <v>296</v>
      </c>
      <c r="Z45" s="76" t="s">
        <v>295</v>
      </c>
      <c r="AA45" s="77" t="s">
        <v>296</v>
      </c>
      <c r="AB45" s="76" t="s">
        <v>295</v>
      </c>
      <c r="AC45" s="77" t="s">
        <v>296</v>
      </c>
      <c r="AD45" s="76" t="s">
        <v>295</v>
      </c>
      <c r="AE45" s="77" t="s">
        <v>296</v>
      </c>
      <c r="AF45" s="76" t="s">
        <v>295</v>
      </c>
      <c r="AG45" s="77" t="s">
        <v>296</v>
      </c>
      <c r="AH45" s="76" t="s">
        <v>295</v>
      </c>
      <c r="AI45" s="77" t="s">
        <v>296</v>
      </c>
      <c r="AJ45" s="76" t="s">
        <v>295</v>
      </c>
      <c r="AK45" s="77" t="s">
        <v>296</v>
      </c>
      <c r="AL45" s="76" t="s">
        <v>295</v>
      </c>
      <c r="AM45" s="77" t="s">
        <v>296</v>
      </c>
      <c r="AN45" s="76" t="s">
        <v>295</v>
      </c>
      <c r="AO45" s="77" t="s">
        <v>296</v>
      </c>
      <c r="AP45" s="76" t="s">
        <v>295</v>
      </c>
      <c r="AQ45" s="77" t="s">
        <v>296</v>
      </c>
      <c r="AR45" s="76" t="s">
        <v>295</v>
      </c>
      <c r="AS45" s="77" t="s">
        <v>296</v>
      </c>
      <c r="AT45" s="76" t="s">
        <v>295</v>
      </c>
      <c r="AU45" s="77" t="s">
        <v>296</v>
      </c>
      <c r="AV45" s="76" t="s">
        <v>295</v>
      </c>
      <c r="AW45" s="77" t="s">
        <v>296</v>
      </c>
      <c r="AX45" s="76" t="s">
        <v>295</v>
      </c>
      <c r="AY45" s="77" t="s">
        <v>296</v>
      </c>
      <c r="AZ45" s="76" t="s">
        <v>295</v>
      </c>
      <c r="BA45" s="77" t="s">
        <v>296</v>
      </c>
      <c r="BB45" s="76" t="s">
        <v>295</v>
      </c>
      <c r="BC45" s="77" t="s">
        <v>296</v>
      </c>
      <c r="BD45" s="76" t="s">
        <v>295</v>
      </c>
      <c r="BE45" s="77" t="s">
        <v>296</v>
      </c>
      <c r="BF45" s="76" t="s">
        <v>295</v>
      </c>
      <c r="BG45" s="77" t="s">
        <v>296</v>
      </c>
      <c r="BH45" s="76" t="s">
        <v>295</v>
      </c>
      <c r="BI45" s="77" t="s">
        <v>296</v>
      </c>
      <c r="BJ45" s="76" t="s">
        <v>295</v>
      </c>
      <c r="BK45" s="77" t="s">
        <v>296</v>
      </c>
      <c r="BL45" s="76" t="s">
        <v>295</v>
      </c>
      <c r="BM45" s="77" t="s">
        <v>296</v>
      </c>
      <c r="BN45" s="76" t="s">
        <v>295</v>
      </c>
      <c r="BO45" s="77" t="s">
        <v>296</v>
      </c>
      <c r="BP45" s="76" t="s">
        <v>295</v>
      </c>
      <c r="BQ45" s="77" t="s">
        <v>296</v>
      </c>
      <c r="BR45" s="95" t="s">
        <v>295</v>
      </c>
      <c r="BS45" s="96" t="s">
        <v>296</v>
      </c>
    </row>
    <row r="46" spans="1:71" x14ac:dyDescent="0.25">
      <c r="A46" s="32" t="s">
        <v>239</v>
      </c>
      <c r="B46" s="11"/>
      <c r="C46" s="11"/>
      <c r="D46" s="11">
        <v>6642</v>
      </c>
      <c r="E46" s="11">
        <v>17499</v>
      </c>
      <c r="F46" s="11"/>
      <c r="G46" s="11"/>
      <c r="H46" s="11">
        <v>19762</v>
      </c>
      <c r="I46" s="11">
        <v>41102</v>
      </c>
      <c r="J46" s="11">
        <v>81083</v>
      </c>
      <c r="K46" s="11">
        <v>70650</v>
      </c>
      <c r="L46" s="11">
        <v>5271</v>
      </c>
      <c r="M46" s="11">
        <v>9476</v>
      </c>
      <c r="N46" s="11">
        <v>301667</v>
      </c>
      <c r="O46" s="11">
        <v>435445</v>
      </c>
      <c r="P46" s="11">
        <v>2091</v>
      </c>
      <c r="Q46" s="11">
        <v>5015</v>
      </c>
      <c r="R46" s="11">
        <v>1875</v>
      </c>
      <c r="S46" s="11">
        <v>3372</v>
      </c>
      <c r="T46" s="11">
        <v>169</v>
      </c>
      <c r="U46" s="11">
        <v>180</v>
      </c>
      <c r="V46" s="11"/>
      <c r="W46" s="11"/>
      <c r="X46" s="11">
        <v>20680</v>
      </c>
      <c r="Y46" s="11">
        <v>38730</v>
      </c>
      <c r="Z46" s="11">
        <v>18</v>
      </c>
      <c r="AA46" s="11">
        <v>-311</v>
      </c>
      <c r="AB46" s="11">
        <v>196136</v>
      </c>
      <c r="AC46" s="11">
        <v>383877</v>
      </c>
      <c r="AD46" s="11">
        <v>108111</v>
      </c>
      <c r="AE46" s="11">
        <v>246931</v>
      </c>
      <c r="AF46" s="11">
        <v>26087</v>
      </c>
      <c r="AG46" s="11">
        <v>52770</v>
      </c>
      <c r="AH46" s="11">
        <v>2606</v>
      </c>
      <c r="AI46" s="11">
        <v>6085</v>
      </c>
      <c r="AJ46" s="103">
        <v>5265</v>
      </c>
      <c r="AK46" s="11">
        <v>10811</v>
      </c>
      <c r="AL46" s="11">
        <v>543</v>
      </c>
      <c r="AM46" s="11">
        <v>1343</v>
      </c>
      <c r="AN46" s="11">
        <v>20727</v>
      </c>
      <c r="AO46" s="11">
        <v>35322</v>
      </c>
      <c r="AP46" s="11">
        <v>24913.451000000005</v>
      </c>
      <c r="AQ46" s="11">
        <v>43868.514000000003</v>
      </c>
      <c r="AR46" s="11">
        <v>61642</v>
      </c>
      <c r="AS46" s="11">
        <v>172499</v>
      </c>
      <c r="AT46" s="11">
        <v>36534</v>
      </c>
      <c r="AU46" s="11">
        <v>69169</v>
      </c>
      <c r="AV46" s="11">
        <v>4</v>
      </c>
      <c r="AW46" s="11">
        <v>25</v>
      </c>
      <c r="AX46" s="11">
        <v>9732</v>
      </c>
      <c r="AY46" s="11">
        <v>26038</v>
      </c>
      <c r="AZ46" s="11"/>
      <c r="BA46" s="11"/>
      <c r="BB46" s="11">
        <v>53568</v>
      </c>
      <c r="BC46" s="11">
        <v>97610</v>
      </c>
      <c r="BD46" s="11">
        <v>18898</v>
      </c>
      <c r="BE46" s="11">
        <v>35575</v>
      </c>
      <c r="BF46" s="11">
        <v>249936</v>
      </c>
      <c r="BG46" s="11">
        <v>379483</v>
      </c>
      <c r="BH46" s="11">
        <v>2273</v>
      </c>
      <c r="BI46" s="11">
        <v>3477</v>
      </c>
      <c r="BJ46" s="11"/>
      <c r="BK46" s="11"/>
      <c r="BL46" s="11">
        <v>35267</v>
      </c>
      <c r="BM46" s="11">
        <v>57353</v>
      </c>
      <c r="BN46" s="11">
        <v>77500</v>
      </c>
      <c r="BO46" s="11">
        <v>136334</v>
      </c>
      <c r="BP46" s="11">
        <v>5440</v>
      </c>
      <c r="BQ46" s="11">
        <v>27809</v>
      </c>
      <c r="BR46" s="99">
        <f t="shared" ref="BR46:BR49" si="10">SUM(B46+D46+F46+H46+J46+L46+N46+P46+R46+T46+V46+X46+Z46+AB46+AD46+AF46+AH46+AJ46+AL46+AN46+AP46+AR46+AT46+AV46+AX46+AZ46+BB46+BD46+BF46+BH46+BJ46+BL46+BN46+BP46)</f>
        <v>1374440.4509999999</v>
      </c>
      <c r="BS46" s="99">
        <f t="shared" ref="BS46:BS49" si="11">SUM(C46+E46+G46+I46+K46+M46+O46+Q46+S46+U46+W46+Y46+AA46+AC46+AE46+AG46+AI46+AK46+AM46+AO46+AQ46+AS46+AU46+AW46+AY46+BA46+BC46+BE46+BG46+BI46+BK46+BM46+BO46+BQ46)</f>
        <v>2407537.514</v>
      </c>
    </row>
    <row r="47" spans="1:71" x14ac:dyDescent="0.25">
      <c r="A47" s="32" t="s">
        <v>290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>
        <v>-94</v>
      </c>
      <c r="U47" s="11">
        <v>546</v>
      </c>
      <c r="V47" s="11"/>
      <c r="W47" s="11"/>
      <c r="X47" s="11"/>
      <c r="Y47" s="11"/>
      <c r="Z47" s="11"/>
      <c r="AA47" s="11"/>
      <c r="AB47" s="11">
        <v>731</v>
      </c>
      <c r="AC47" s="11">
        <v>731</v>
      </c>
      <c r="AD47" s="11">
        <v>330</v>
      </c>
      <c r="AE47" s="11">
        <v>1075</v>
      </c>
      <c r="AF47" s="11"/>
      <c r="AG47" s="11"/>
      <c r="AH47" s="11"/>
      <c r="AI47" s="11"/>
      <c r="AJ47" s="103"/>
      <c r="AK47" s="11"/>
      <c r="AL47" s="11">
        <v>40</v>
      </c>
      <c r="AM47" s="11">
        <v>332</v>
      </c>
      <c r="AN47" s="11"/>
      <c r="AO47" s="11"/>
      <c r="AP47" s="11">
        <v>0</v>
      </c>
      <c r="AQ47" s="11">
        <v>0</v>
      </c>
      <c r="AR47" s="11">
        <v>5565</v>
      </c>
      <c r="AS47" s="11">
        <v>10516</v>
      </c>
      <c r="AT47" s="11">
        <v>209</v>
      </c>
      <c r="AU47" s="11">
        <v>212</v>
      </c>
      <c r="AV47" s="11"/>
      <c r="AW47" s="11"/>
      <c r="AX47" s="11"/>
      <c r="AY47" s="11"/>
      <c r="AZ47" s="11"/>
      <c r="BA47" s="11"/>
      <c r="BB47" s="11"/>
      <c r="BC47" s="11">
        <v>5</v>
      </c>
      <c r="BD47" s="11">
        <v>5</v>
      </c>
      <c r="BE47" s="11">
        <v>494</v>
      </c>
      <c r="BF47" s="11"/>
      <c r="BG47" s="11"/>
      <c r="BH47" s="11"/>
      <c r="BI47" s="11"/>
      <c r="BJ47" s="11"/>
      <c r="BK47" s="11"/>
      <c r="BL47" s="11"/>
      <c r="BM47" s="11">
        <v>637</v>
      </c>
      <c r="BN47" s="11">
        <v>-1</v>
      </c>
      <c r="BO47" s="11">
        <v>-1</v>
      </c>
      <c r="BP47" s="11"/>
      <c r="BQ47" s="11"/>
      <c r="BR47" s="99">
        <f t="shared" si="10"/>
        <v>6785</v>
      </c>
      <c r="BS47" s="99">
        <f t="shared" si="11"/>
        <v>14547</v>
      </c>
    </row>
    <row r="48" spans="1:71" x14ac:dyDescent="0.25">
      <c r="A48" s="32" t="s">
        <v>291</v>
      </c>
      <c r="B48" s="11">
        <v>8</v>
      </c>
      <c r="C48" s="11">
        <v>20</v>
      </c>
      <c r="D48" s="11">
        <v>1791</v>
      </c>
      <c r="E48" s="11">
        <v>3219</v>
      </c>
      <c r="F48" s="11"/>
      <c r="G48" s="11"/>
      <c r="H48" s="11">
        <v>11163</v>
      </c>
      <c r="I48" s="11">
        <v>35202</v>
      </c>
      <c r="J48" s="11">
        <v>5128</v>
      </c>
      <c r="K48" s="11">
        <v>5168</v>
      </c>
      <c r="L48" s="11">
        <v>840</v>
      </c>
      <c r="M48" s="11">
        <v>1349</v>
      </c>
      <c r="N48" s="11">
        <v>87581</v>
      </c>
      <c r="O48" s="11">
        <v>107202</v>
      </c>
      <c r="P48" s="11">
        <v>1208</v>
      </c>
      <c r="Q48" s="11">
        <v>1353</v>
      </c>
      <c r="R48" s="11">
        <v>-3716</v>
      </c>
      <c r="S48" s="11">
        <v>-6689</v>
      </c>
      <c r="T48" s="11">
        <v>283</v>
      </c>
      <c r="U48" s="11">
        <v>306</v>
      </c>
      <c r="V48" s="11"/>
      <c r="W48" s="11"/>
      <c r="X48" s="11">
        <v>2282</v>
      </c>
      <c r="Y48" s="11">
        <v>-2291</v>
      </c>
      <c r="Z48" s="11">
        <v>180</v>
      </c>
      <c r="AA48" s="11">
        <v>348</v>
      </c>
      <c r="AB48" s="11">
        <v>-279189</v>
      </c>
      <c r="AC48" s="11">
        <v>-544591</v>
      </c>
      <c r="AD48" s="11">
        <v>91119</v>
      </c>
      <c r="AE48" s="11">
        <v>223154</v>
      </c>
      <c r="AF48" s="11">
        <v>3866</v>
      </c>
      <c r="AG48" s="11">
        <v>7941</v>
      </c>
      <c r="AH48" s="11">
        <v>16684</v>
      </c>
      <c r="AI48" s="11">
        <v>31216</v>
      </c>
      <c r="AJ48" s="103">
        <v>314</v>
      </c>
      <c r="AK48" s="11">
        <v>802</v>
      </c>
      <c r="AL48" s="11">
        <v>-50</v>
      </c>
      <c r="AM48" s="11">
        <v>-271</v>
      </c>
      <c r="AN48" s="11">
        <v>4505</v>
      </c>
      <c r="AO48" s="11">
        <v>11834</v>
      </c>
      <c r="AP48" s="11">
        <v>0</v>
      </c>
      <c r="AQ48" s="11">
        <v>0</v>
      </c>
      <c r="AR48" s="11">
        <v>5655</v>
      </c>
      <c r="AS48" s="11">
        <v>16131</v>
      </c>
      <c r="AT48" s="11">
        <v>11116</v>
      </c>
      <c r="AU48" s="11">
        <v>-2229</v>
      </c>
      <c r="AV48" s="11">
        <v>16</v>
      </c>
      <c r="AW48" s="11">
        <v>68</v>
      </c>
      <c r="AX48" s="11">
        <v>-3525</v>
      </c>
      <c r="AY48" s="11">
        <v>2487</v>
      </c>
      <c r="AZ48" s="11"/>
      <c r="BA48" s="11"/>
      <c r="BB48" s="11">
        <v>2386</v>
      </c>
      <c r="BC48" s="11">
        <v>11681</v>
      </c>
      <c r="BD48" s="11">
        <v>-3013</v>
      </c>
      <c r="BE48" s="11">
        <v>-13949</v>
      </c>
      <c r="BF48" s="11">
        <v>16865</v>
      </c>
      <c r="BG48" s="11">
        <v>25781</v>
      </c>
      <c r="BH48" s="11">
        <v>2512</v>
      </c>
      <c r="BI48" s="11">
        <v>4989</v>
      </c>
      <c r="BJ48" s="11"/>
      <c r="BK48" s="11"/>
      <c r="BL48" s="11">
        <v>3010</v>
      </c>
      <c r="BM48" s="11">
        <v>5427</v>
      </c>
      <c r="BN48" s="11">
        <v>51474</v>
      </c>
      <c r="BO48" s="11">
        <v>148398</v>
      </c>
      <c r="BP48" s="11">
        <v>1538</v>
      </c>
      <c r="BQ48" s="11">
        <v>19145</v>
      </c>
      <c r="BR48" s="99">
        <f t="shared" si="10"/>
        <v>32031</v>
      </c>
      <c r="BS48" s="99">
        <f t="shared" si="11"/>
        <v>93201</v>
      </c>
    </row>
    <row r="49" spans="1:71" x14ac:dyDescent="0.25">
      <c r="A49" s="32" t="s">
        <v>240</v>
      </c>
      <c r="B49" s="11">
        <v>-8</v>
      </c>
      <c r="C49" s="11">
        <v>-20</v>
      </c>
      <c r="D49" s="11">
        <v>4851</v>
      </c>
      <c r="E49" s="11">
        <v>14280</v>
      </c>
      <c r="F49" s="11"/>
      <c r="G49" s="11"/>
      <c r="H49" s="11">
        <v>8599</v>
      </c>
      <c r="I49" s="11">
        <v>5900</v>
      </c>
      <c r="J49" s="11">
        <v>75955</v>
      </c>
      <c r="K49" s="11">
        <v>65482</v>
      </c>
      <c r="L49" s="11">
        <v>4431</v>
      </c>
      <c r="M49" s="11">
        <v>8127</v>
      </c>
      <c r="N49" s="11">
        <v>214086</v>
      </c>
      <c r="O49" s="11">
        <v>328243</v>
      </c>
      <c r="P49" s="11">
        <v>884</v>
      </c>
      <c r="Q49" s="11">
        <v>3662</v>
      </c>
      <c r="R49" s="11">
        <v>-1841</v>
      </c>
      <c r="S49" s="11">
        <v>-3317</v>
      </c>
      <c r="T49" s="11">
        <v>-208</v>
      </c>
      <c r="U49" s="11">
        <v>420</v>
      </c>
      <c r="V49" s="11"/>
      <c r="W49" s="11"/>
      <c r="X49" s="11">
        <v>18398</v>
      </c>
      <c r="Y49" s="11">
        <v>41022</v>
      </c>
      <c r="Z49" s="11">
        <v>-162</v>
      </c>
      <c r="AA49" s="11">
        <v>-659</v>
      </c>
      <c r="AB49" s="11">
        <v>-82322</v>
      </c>
      <c r="AC49" s="11">
        <v>-159984</v>
      </c>
      <c r="AD49" s="11">
        <v>17322</v>
      </c>
      <c r="AE49" s="11">
        <v>24852</v>
      </c>
      <c r="AF49" s="11">
        <v>22221</v>
      </c>
      <c r="AG49" s="11">
        <v>44829</v>
      </c>
      <c r="AH49" s="11">
        <v>-14078</v>
      </c>
      <c r="AI49" s="11">
        <v>-25131</v>
      </c>
      <c r="AJ49" s="103">
        <v>4951</v>
      </c>
      <c r="AK49" s="11">
        <v>10009</v>
      </c>
      <c r="AL49" s="11">
        <v>533</v>
      </c>
      <c r="AM49" s="11">
        <v>1404</v>
      </c>
      <c r="AN49" s="11">
        <v>16222</v>
      </c>
      <c r="AO49" s="11">
        <v>23488</v>
      </c>
      <c r="AP49" s="11">
        <v>24913.451000000005</v>
      </c>
      <c r="AQ49" s="11">
        <v>43868.514000000003</v>
      </c>
      <c r="AR49" s="11">
        <v>61551</v>
      </c>
      <c r="AS49" s="11">
        <v>166883</v>
      </c>
      <c r="AT49" s="11">
        <v>25627</v>
      </c>
      <c r="AU49" s="11">
        <v>71610</v>
      </c>
      <c r="AV49" s="11">
        <v>-12</v>
      </c>
      <c r="AW49" s="11">
        <v>-43</v>
      </c>
      <c r="AX49" s="11">
        <v>13257</v>
      </c>
      <c r="AY49" s="11">
        <v>23551</v>
      </c>
      <c r="AZ49" s="11"/>
      <c r="BA49" s="11"/>
      <c r="BB49" s="11">
        <v>51182</v>
      </c>
      <c r="BC49" s="11">
        <v>85934</v>
      </c>
      <c r="BD49" s="11">
        <v>15890</v>
      </c>
      <c r="BE49" s="11">
        <v>22120</v>
      </c>
      <c r="BF49" s="11">
        <v>233071</v>
      </c>
      <c r="BG49" s="11">
        <v>353702</v>
      </c>
      <c r="BH49" s="11">
        <v>-239</v>
      </c>
      <c r="BI49" s="11">
        <v>-1513</v>
      </c>
      <c r="BJ49" s="11"/>
      <c r="BK49" s="11"/>
      <c r="BL49" s="11">
        <v>32257</v>
      </c>
      <c r="BM49" s="11">
        <v>52563</v>
      </c>
      <c r="BN49" s="11">
        <v>26025</v>
      </c>
      <c r="BO49" s="11">
        <v>-12065</v>
      </c>
      <c r="BP49" s="11">
        <v>3902</v>
      </c>
      <c r="BQ49" s="11">
        <v>8664</v>
      </c>
      <c r="BR49" s="99">
        <f t="shared" si="10"/>
        <v>777258.451</v>
      </c>
      <c r="BS49" s="99">
        <f t="shared" si="11"/>
        <v>1197881.514</v>
      </c>
    </row>
    <row r="50" spans="1:71" x14ac:dyDescent="0.25">
      <c r="A50" s="30"/>
    </row>
    <row r="51" spans="1:71" x14ac:dyDescent="0.25">
      <c r="A51" s="31" t="s">
        <v>236</v>
      </c>
    </row>
    <row r="52" spans="1:71" x14ac:dyDescent="0.25">
      <c r="A52" s="4" t="s">
        <v>0</v>
      </c>
      <c r="B52" s="105" t="s">
        <v>1</v>
      </c>
      <c r="C52" s="106"/>
      <c r="D52" s="105" t="s">
        <v>2</v>
      </c>
      <c r="E52" s="106"/>
      <c r="F52" s="105" t="s">
        <v>3</v>
      </c>
      <c r="G52" s="106"/>
      <c r="H52" s="105" t="s">
        <v>4</v>
      </c>
      <c r="I52" s="106"/>
      <c r="J52" s="105" t="s">
        <v>5</v>
      </c>
      <c r="K52" s="106"/>
      <c r="L52" s="105" t="s">
        <v>6</v>
      </c>
      <c r="M52" s="106"/>
      <c r="N52" s="105" t="s">
        <v>7</v>
      </c>
      <c r="O52" s="106"/>
      <c r="P52" s="105" t="s">
        <v>8</v>
      </c>
      <c r="Q52" s="106"/>
      <c r="R52" s="105" t="s">
        <v>9</v>
      </c>
      <c r="S52" s="106"/>
      <c r="T52" s="105" t="s">
        <v>10</v>
      </c>
      <c r="U52" s="106"/>
      <c r="V52" s="105" t="s">
        <v>11</v>
      </c>
      <c r="W52" s="106"/>
      <c r="X52" s="105" t="s">
        <v>12</v>
      </c>
      <c r="Y52" s="106"/>
      <c r="Z52" s="105" t="s">
        <v>13</v>
      </c>
      <c r="AA52" s="106"/>
      <c r="AB52" s="105" t="s">
        <v>14</v>
      </c>
      <c r="AC52" s="106"/>
      <c r="AD52" s="105" t="s">
        <v>15</v>
      </c>
      <c r="AE52" s="106"/>
      <c r="AF52" s="105" t="s">
        <v>16</v>
      </c>
      <c r="AG52" s="106"/>
      <c r="AH52" s="105" t="s">
        <v>17</v>
      </c>
      <c r="AI52" s="106"/>
      <c r="AJ52" s="105" t="s">
        <v>18</v>
      </c>
      <c r="AK52" s="106"/>
      <c r="AL52" s="105" t="s">
        <v>19</v>
      </c>
      <c r="AM52" s="106"/>
      <c r="AN52" s="105" t="s">
        <v>20</v>
      </c>
      <c r="AO52" s="106"/>
      <c r="AP52" s="105" t="s">
        <v>21</v>
      </c>
      <c r="AQ52" s="106"/>
      <c r="AR52" s="105" t="s">
        <v>22</v>
      </c>
      <c r="AS52" s="106"/>
      <c r="AT52" s="105" t="s">
        <v>23</v>
      </c>
      <c r="AU52" s="106"/>
      <c r="AV52" s="105" t="s">
        <v>24</v>
      </c>
      <c r="AW52" s="106"/>
      <c r="AX52" s="105" t="s">
        <v>25</v>
      </c>
      <c r="AY52" s="106"/>
      <c r="AZ52" s="105" t="s">
        <v>26</v>
      </c>
      <c r="BA52" s="106"/>
      <c r="BB52" s="105" t="s">
        <v>27</v>
      </c>
      <c r="BC52" s="106"/>
      <c r="BD52" s="105" t="s">
        <v>28</v>
      </c>
      <c r="BE52" s="106"/>
      <c r="BF52" s="105" t="s">
        <v>29</v>
      </c>
      <c r="BG52" s="106"/>
      <c r="BH52" s="105" t="s">
        <v>30</v>
      </c>
      <c r="BI52" s="106"/>
      <c r="BJ52" s="105" t="s">
        <v>31</v>
      </c>
      <c r="BK52" s="106"/>
      <c r="BL52" s="105" t="s">
        <v>32</v>
      </c>
      <c r="BM52" s="106"/>
      <c r="BN52" s="109" t="s">
        <v>33</v>
      </c>
      <c r="BO52" s="110"/>
      <c r="BP52" s="105" t="s">
        <v>34</v>
      </c>
      <c r="BQ52" s="106"/>
      <c r="BR52" s="107" t="s">
        <v>35</v>
      </c>
      <c r="BS52" s="108"/>
    </row>
    <row r="53" spans="1:71" ht="30" x14ac:dyDescent="0.25">
      <c r="A53" s="4"/>
      <c r="B53" s="76" t="s">
        <v>295</v>
      </c>
      <c r="C53" s="77" t="s">
        <v>296</v>
      </c>
      <c r="D53" s="76" t="s">
        <v>295</v>
      </c>
      <c r="E53" s="77" t="s">
        <v>296</v>
      </c>
      <c r="F53" s="76" t="s">
        <v>295</v>
      </c>
      <c r="G53" s="77" t="s">
        <v>296</v>
      </c>
      <c r="H53" s="76" t="s">
        <v>295</v>
      </c>
      <c r="I53" s="77" t="s">
        <v>296</v>
      </c>
      <c r="J53" s="76" t="s">
        <v>295</v>
      </c>
      <c r="K53" s="77" t="s">
        <v>296</v>
      </c>
      <c r="L53" s="76" t="s">
        <v>295</v>
      </c>
      <c r="M53" s="77" t="s">
        <v>296</v>
      </c>
      <c r="N53" s="76" t="s">
        <v>295</v>
      </c>
      <c r="O53" s="77" t="s">
        <v>296</v>
      </c>
      <c r="P53" s="76" t="s">
        <v>295</v>
      </c>
      <c r="Q53" s="77" t="s">
        <v>296</v>
      </c>
      <c r="R53" s="76" t="s">
        <v>295</v>
      </c>
      <c r="S53" s="77" t="s">
        <v>296</v>
      </c>
      <c r="T53" s="76" t="s">
        <v>295</v>
      </c>
      <c r="U53" s="77" t="s">
        <v>296</v>
      </c>
      <c r="V53" s="76" t="s">
        <v>295</v>
      </c>
      <c r="W53" s="77" t="s">
        <v>296</v>
      </c>
      <c r="X53" s="76" t="s">
        <v>295</v>
      </c>
      <c r="Y53" s="77" t="s">
        <v>296</v>
      </c>
      <c r="Z53" s="76" t="s">
        <v>295</v>
      </c>
      <c r="AA53" s="77" t="s">
        <v>296</v>
      </c>
      <c r="AB53" s="76" t="s">
        <v>295</v>
      </c>
      <c r="AC53" s="77" t="s">
        <v>296</v>
      </c>
      <c r="AD53" s="76" t="s">
        <v>295</v>
      </c>
      <c r="AE53" s="77" t="s">
        <v>296</v>
      </c>
      <c r="AF53" s="76" t="s">
        <v>295</v>
      </c>
      <c r="AG53" s="77" t="s">
        <v>296</v>
      </c>
      <c r="AH53" s="76" t="s">
        <v>295</v>
      </c>
      <c r="AI53" s="77" t="s">
        <v>296</v>
      </c>
      <c r="AJ53" s="76" t="s">
        <v>295</v>
      </c>
      <c r="AK53" s="77" t="s">
        <v>296</v>
      </c>
      <c r="AL53" s="76" t="s">
        <v>295</v>
      </c>
      <c r="AM53" s="77" t="s">
        <v>296</v>
      </c>
      <c r="AN53" s="76" t="s">
        <v>295</v>
      </c>
      <c r="AO53" s="77" t="s">
        <v>296</v>
      </c>
      <c r="AP53" s="76" t="s">
        <v>295</v>
      </c>
      <c r="AQ53" s="77" t="s">
        <v>296</v>
      </c>
      <c r="AR53" s="76" t="s">
        <v>295</v>
      </c>
      <c r="AS53" s="77" t="s">
        <v>296</v>
      </c>
      <c r="AT53" s="76" t="s">
        <v>295</v>
      </c>
      <c r="AU53" s="77" t="s">
        <v>296</v>
      </c>
      <c r="AV53" s="76" t="s">
        <v>295</v>
      </c>
      <c r="AW53" s="77" t="s">
        <v>296</v>
      </c>
      <c r="AX53" s="76" t="s">
        <v>295</v>
      </c>
      <c r="AY53" s="77" t="s">
        <v>296</v>
      </c>
      <c r="AZ53" s="76" t="s">
        <v>295</v>
      </c>
      <c r="BA53" s="77" t="s">
        <v>296</v>
      </c>
      <c r="BB53" s="76" t="s">
        <v>295</v>
      </c>
      <c r="BC53" s="77" t="s">
        <v>296</v>
      </c>
      <c r="BD53" s="76" t="s">
        <v>295</v>
      </c>
      <c r="BE53" s="77" t="s">
        <v>296</v>
      </c>
      <c r="BF53" s="76" t="s">
        <v>295</v>
      </c>
      <c r="BG53" s="77" t="s">
        <v>296</v>
      </c>
      <c r="BH53" s="76" t="s">
        <v>295</v>
      </c>
      <c r="BI53" s="77" t="s">
        <v>296</v>
      </c>
      <c r="BJ53" s="76" t="s">
        <v>295</v>
      </c>
      <c r="BK53" s="77" t="s">
        <v>296</v>
      </c>
      <c r="BL53" s="76" t="s">
        <v>295</v>
      </c>
      <c r="BM53" s="77" t="s">
        <v>296</v>
      </c>
      <c r="BN53" s="76" t="s">
        <v>295</v>
      </c>
      <c r="BO53" s="77" t="s">
        <v>296</v>
      </c>
      <c r="BP53" s="76" t="s">
        <v>295</v>
      </c>
      <c r="BQ53" s="77" t="s">
        <v>296</v>
      </c>
      <c r="BR53" s="95" t="s">
        <v>295</v>
      </c>
      <c r="BS53" s="96" t="s">
        <v>296</v>
      </c>
    </row>
    <row r="54" spans="1:71" x14ac:dyDescent="0.25">
      <c r="A54" s="32" t="s">
        <v>239</v>
      </c>
      <c r="B54" s="11"/>
      <c r="C54" s="11"/>
      <c r="D54" s="11"/>
      <c r="E54" s="11"/>
      <c r="F54" s="11"/>
      <c r="G54" s="11"/>
      <c r="H54" s="11"/>
      <c r="I54" s="11"/>
      <c r="J54" s="11">
        <v>4150</v>
      </c>
      <c r="K54" s="11">
        <v>4377</v>
      </c>
      <c r="L54" s="11">
        <v>3391</v>
      </c>
      <c r="M54" s="11">
        <v>13911</v>
      </c>
      <c r="N54" s="11">
        <v>1314</v>
      </c>
      <c r="O54" s="11">
        <v>3537</v>
      </c>
      <c r="P54" s="11"/>
      <c r="Q54" s="11"/>
      <c r="R54" s="11"/>
      <c r="S54" s="11"/>
      <c r="T54" s="11"/>
      <c r="U54" s="11"/>
      <c r="V54" s="11"/>
      <c r="W54" s="11"/>
      <c r="X54" s="11">
        <v>5747</v>
      </c>
      <c r="Y54" s="11">
        <v>10737</v>
      </c>
      <c r="Z54" s="11"/>
      <c r="AA54" s="11"/>
      <c r="AB54" s="11">
        <v>693</v>
      </c>
      <c r="AC54" s="11">
        <v>1410</v>
      </c>
      <c r="AD54" s="11">
        <v>4775</v>
      </c>
      <c r="AE54" s="11">
        <v>14151</v>
      </c>
      <c r="AF54" s="11">
        <v>24322</v>
      </c>
      <c r="AG54" s="11">
        <v>48064</v>
      </c>
      <c r="AH54" s="11"/>
      <c r="AI54" s="11"/>
      <c r="AJ54" s="103">
        <v>2575</v>
      </c>
      <c r="AK54" s="11">
        <v>5668</v>
      </c>
      <c r="AL54" s="11">
        <v>17</v>
      </c>
      <c r="AM54" s="11">
        <v>44</v>
      </c>
      <c r="AN54" s="11"/>
      <c r="AO54" s="11"/>
      <c r="AP54" s="11">
        <v>20203.970000000005</v>
      </c>
      <c r="AQ54" s="11">
        <v>37982.052000000003</v>
      </c>
      <c r="AR54" s="11">
        <v>200861</v>
      </c>
      <c r="AS54" s="11">
        <v>446463</v>
      </c>
      <c r="AT54" s="11">
        <v>16994</v>
      </c>
      <c r="AU54" s="11">
        <v>38092</v>
      </c>
      <c r="AV54" s="11">
        <v>450</v>
      </c>
      <c r="AW54" s="11">
        <v>851</v>
      </c>
      <c r="AX54" s="11">
        <v>7393</v>
      </c>
      <c r="AY54" s="11">
        <v>18675</v>
      </c>
      <c r="AZ54" s="11"/>
      <c r="BA54" s="11"/>
      <c r="BB54" s="11"/>
      <c r="BC54" s="11"/>
      <c r="BD54" s="11">
        <v>3636</v>
      </c>
      <c r="BE54" s="11">
        <v>4143</v>
      </c>
      <c r="BF54" s="11">
        <v>5655</v>
      </c>
      <c r="BG54" s="11">
        <v>9704</v>
      </c>
      <c r="BH54" s="11">
        <v>129</v>
      </c>
      <c r="BI54" s="11">
        <v>345</v>
      </c>
      <c r="BJ54" s="11"/>
      <c r="BK54" s="11"/>
      <c r="BL54" s="11">
        <v>94224</v>
      </c>
      <c r="BM54" s="11">
        <v>231093</v>
      </c>
      <c r="BN54" s="11">
        <v>29650</v>
      </c>
      <c r="BO54" s="11">
        <v>46479</v>
      </c>
      <c r="BP54" s="11">
        <v>266</v>
      </c>
      <c r="BQ54" s="11">
        <v>1679</v>
      </c>
      <c r="BR54" s="99">
        <f t="shared" ref="BR54:BR57" si="12">SUM(B54+D54+F54+H54+J54+L54+N54+P54+R54+T54+V54+X54+Z54+AB54+AD54+AF54+AH54+AJ54+AL54+AN54+AP54+AR54+AT54+AV54+AX54+AZ54+BB54+BD54+BF54+BH54+BJ54+BL54+BN54+BP54)</f>
        <v>426445.97</v>
      </c>
      <c r="BS54" s="99">
        <f t="shared" ref="BS54:BS57" si="13">SUM(C54+E54+G54+I54+K54+M54+O54+Q54+S54+U54+W54+Y54+AA54+AC54+AE54+AG54+AI54+AK54+AM54+AO54+AQ54+AS54+AU54+AW54+AY54+BA54+BC54+BE54+BG54+BI54+BK54+BM54+BO54+BQ54)</f>
        <v>937405.05200000003</v>
      </c>
    </row>
    <row r="55" spans="1:71" x14ac:dyDescent="0.25">
      <c r="A55" s="32" t="s">
        <v>290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>
        <v>258</v>
      </c>
      <c r="M55" s="11">
        <v>280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>
        <v>1479</v>
      </c>
      <c r="Y55" s="11">
        <v>2455</v>
      </c>
      <c r="Z55" s="11"/>
      <c r="AA55" s="11"/>
      <c r="AB55" s="11"/>
      <c r="AC55" s="11">
        <v>320</v>
      </c>
      <c r="AD55" s="11"/>
      <c r="AE55" s="11"/>
      <c r="AF55" s="11">
        <v>837</v>
      </c>
      <c r="AG55" s="11">
        <v>1114</v>
      </c>
      <c r="AH55" s="11"/>
      <c r="AI55" s="11"/>
      <c r="AJ55" s="103"/>
      <c r="AK55" s="11"/>
      <c r="AL55" s="11"/>
      <c r="AM55" s="11"/>
      <c r="AN55" s="11"/>
      <c r="AO55" s="11"/>
      <c r="AP55" s="11">
        <v>0</v>
      </c>
      <c r="AQ55" s="11">
        <v>0</v>
      </c>
      <c r="AR55" s="11">
        <v>64</v>
      </c>
      <c r="AS55" s="11">
        <v>328</v>
      </c>
      <c r="AT55" s="11">
        <v>13</v>
      </c>
      <c r="AU55" s="11">
        <v>43</v>
      </c>
      <c r="AV55" s="11"/>
      <c r="AW55" s="11"/>
      <c r="AX55" s="11">
        <v>136</v>
      </c>
      <c r="AY55" s="11">
        <v>136</v>
      </c>
      <c r="AZ55" s="11"/>
      <c r="BA55" s="11"/>
      <c r="BB55" s="11"/>
      <c r="BC55" s="11"/>
      <c r="BD55" s="11"/>
      <c r="BE55" s="11"/>
      <c r="BF55" s="11">
        <v>661</v>
      </c>
      <c r="BG55" s="11">
        <v>1363</v>
      </c>
      <c r="BH55" s="11"/>
      <c r="BI55" s="11"/>
      <c r="BJ55" s="11"/>
      <c r="BK55" s="11"/>
      <c r="BL55" s="11">
        <v>16657</v>
      </c>
      <c r="BM55" s="11">
        <v>28654</v>
      </c>
      <c r="BN55" s="11">
        <v>180</v>
      </c>
      <c r="BO55" s="11">
        <v>400</v>
      </c>
      <c r="BP55" s="11"/>
      <c r="BQ55" s="11"/>
      <c r="BR55" s="99">
        <f t="shared" si="12"/>
        <v>20285</v>
      </c>
      <c r="BS55" s="99">
        <f t="shared" si="13"/>
        <v>35093</v>
      </c>
    </row>
    <row r="56" spans="1:71" x14ac:dyDescent="0.25">
      <c r="A56" s="32" t="s">
        <v>291</v>
      </c>
      <c r="B56" s="11">
        <v>11149</v>
      </c>
      <c r="C56" s="11">
        <v>20186</v>
      </c>
      <c r="D56" s="11"/>
      <c r="E56" s="11"/>
      <c r="F56" s="11"/>
      <c r="G56" s="11"/>
      <c r="H56" s="11"/>
      <c r="I56" s="11"/>
      <c r="J56" s="11">
        <v>9486</v>
      </c>
      <c r="K56" s="11">
        <v>3964</v>
      </c>
      <c r="L56" s="11">
        <v>2345</v>
      </c>
      <c r="M56" s="11">
        <v>8392</v>
      </c>
      <c r="N56" s="11">
        <v>738</v>
      </c>
      <c r="O56" s="11">
        <v>1743</v>
      </c>
      <c r="P56" s="11"/>
      <c r="Q56" s="11"/>
      <c r="R56" s="11"/>
      <c r="S56" s="11"/>
      <c r="T56" s="11"/>
      <c r="U56" s="11"/>
      <c r="V56" s="11"/>
      <c r="W56" s="11"/>
      <c r="X56" s="11">
        <v>11577</v>
      </c>
      <c r="Y56" s="11">
        <v>17635</v>
      </c>
      <c r="Z56" s="11"/>
      <c r="AA56" s="11"/>
      <c r="AB56" s="11">
        <v>-135</v>
      </c>
      <c r="AC56" s="11">
        <v>-201</v>
      </c>
      <c r="AD56" s="11">
        <v>1716</v>
      </c>
      <c r="AE56" s="11">
        <v>12886</v>
      </c>
      <c r="AF56" s="11">
        <v>2386</v>
      </c>
      <c r="AG56" s="11">
        <v>6695</v>
      </c>
      <c r="AH56" s="11"/>
      <c r="AI56" s="11"/>
      <c r="AJ56" s="103">
        <v>252</v>
      </c>
      <c r="AK56" s="11">
        <v>441</v>
      </c>
      <c r="AL56" s="11">
        <v>-18</v>
      </c>
      <c r="AM56" s="11">
        <v>-47</v>
      </c>
      <c r="AN56" s="11"/>
      <c r="AO56" s="11"/>
      <c r="AP56" s="11">
        <v>0</v>
      </c>
      <c r="AQ56" s="11">
        <v>0</v>
      </c>
      <c r="AR56" s="11">
        <v>37495</v>
      </c>
      <c r="AS56" s="11">
        <v>90025</v>
      </c>
      <c r="AT56" s="11">
        <v>-2805</v>
      </c>
      <c r="AU56" s="11">
        <v>13117</v>
      </c>
      <c r="AV56" s="11">
        <v>26</v>
      </c>
      <c r="AW56" s="11">
        <v>48</v>
      </c>
      <c r="AX56" s="11">
        <v>2048</v>
      </c>
      <c r="AY56" s="11">
        <v>3344</v>
      </c>
      <c r="AZ56" s="11"/>
      <c r="BA56" s="11"/>
      <c r="BB56" s="11"/>
      <c r="BC56" s="11"/>
      <c r="BD56" s="11">
        <v>-3552</v>
      </c>
      <c r="BE56" s="11">
        <v>-6556</v>
      </c>
      <c r="BF56" s="11">
        <v>11230</v>
      </c>
      <c r="BG56" s="11">
        <v>20698</v>
      </c>
      <c r="BH56" s="11">
        <v>11</v>
      </c>
      <c r="BI56" s="11">
        <v>26</v>
      </c>
      <c r="BJ56" s="11"/>
      <c r="BK56" s="11"/>
      <c r="BL56" s="11">
        <v>146759</v>
      </c>
      <c r="BM56" s="11">
        <v>348143</v>
      </c>
      <c r="BN56" s="11">
        <v>2586</v>
      </c>
      <c r="BO56" s="11">
        <v>4669</v>
      </c>
      <c r="BP56" s="11">
        <v>-77</v>
      </c>
      <c r="BQ56" s="11">
        <v>1685</v>
      </c>
      <c r="BR56" s="99">
        <f t="shared" si="12"/>
        <v>233217</v>
      </c>
      <c r="BS56" s="99">
        <f t="shared" si="13"/>
        <v>546893</v>
      </c>
    </row>
    <row r="57" spans="1:71" x14ac:dyDescent="0.25">
      <c r="A57" s="32" t="s">
        <v>240</v>
      </c>
      <c r="B57" s="11">
        <v>-11149</v>
      </c>
      <c r="C57" s="11">
        <v>-20186</v>
      </c>
      <c r="D57" s="11"/>
      <c r="E57" s="11"/>
      <c r="F57" s="11"/>
      <c r="G57" s="11"/>
      <c r="H57" s="11"/>
      <c r="I57" s="11"/>
      <c r="J57" s="11">
        <v>-5336</v>
      </c>
      <c r="K57" s="11">
        <v>413</v>
      </c>
      <c r="L57" s="11">
        <v>1303</v>
      </c>
      <c r="M57" s="11">
        <v>5799</v>
      </c>
      <c r="N57" s="11">
        <v>576</v>
      </c>
      <c r="O57" s="11">
        <v>1794</v>
      </c>
      <c r="P57" s="11"/>
      <c r="Q57" s="11"/>
      <c r="R57" s="11"/>
      <c r="S57" s="11"/>
      <c r="T57" s="11"/>
      <c r="U57" s="11"/>
      <c r="V57" s="11"/>
      <c r="W57" s="11"/>
      <c r="X57" s="11">
        <v>-4351</v>
      </c>
      <c r="Y57" s="11">
        <v>-4443</v>
      </c>
      <c r="Z57" s="11"/>
      <c r="AA57" s="11"/>
      <c r="AB57" s="11">
        <v>558</v>
      </c>
      <c r="AC57" s="11">
        <v>1529</v>
      </c>
      <c r="AD57" s="11">
        <v>3059</v>
      </c>
      <c r="AE57" s="11">
        <v>1265</v>
      </c>
      <c r="AF57" s="11">
        <v>22773</v>
      </c>
      <c r="AG57" s="11">
        <v>42483</v>
      </c>
      <c r="AH57" s="11"/>
      <c r="AI57" s="11"/>
      <c r="AJ57" s="103">
        <v>2323</v>
      </c>
      <c r="AK57" s="11">
        <v>5227</v>
      </c>
      <c r="AL57" s="11">
        <v>-1</v>
      </c>
      <c r="AM57" s="11">
        <v>-3</v>
      </c>
      <c r="AN57" s="11"/>
      <c r="AO57" s="11"/>
      <c r="AP57" s="11">
        <v>20203.970000000005</v>
      </c>
      <c r="AQ57" s="11">
        <v>37982.052000000003</v>
      </c>
      <c r="AR57" s="11">
        <v>163430</v>
      </c>
      <c r="AS57" s="11">
        <v>356765</v>
      </c>
      <c r="AT57" s="11">
        <v>19812</v>
      </c>
      <c r="AU57" s="11">
        <v>25018</v>
      </c>
      <c r="AV57" s="11">
        <v>424</v>
      </c>
      <c r="AW57" s="11">
        <v>803</v>
      </c>
      <c r="AX57" s="11">
        <v>5481</v>
      </c>
      <c r="AY57" s="11">
        <v>15467</v>
      </c>
      <c r="AZ57" s="11"/>
      <c r="BA57" s="11"/>
      <c r="BB57" s="11"/>
      <c r="BC57" s="11"/>
      <c r="BD57" s="11">
        <v>84</v>
      </c>
      <c r="BE57" s="11">
        <v>-2413</v>
      </c>
      <c r="BF57" s="11">
        <v>-4914</v>
      </c>
      <c r="BG57" s="11">
        <v>-9631</v>
      </c>
      <c r="BH57" s="11">
        <v>119</v>
      </c>
      <c r="BI57" s="11">
        <v>319</v>
      </c>
      <c r="BJ57" s="11"/>
      <c r="BK57" s="11"/>
      <c r="BL57" s="11">
        <v>-35878</v>
      </c>
      <c r="BM57" s="11">
        <v>-88396</v>
      </c>
      <c r="BN57" s="11">
        <v>27244</v>
      </c>
      <c r="BO57" s="11">
        <v>42210</v>
      </c>
      <c r="BP57" s="11">
        <v>343</v>
      </c>
      <c r="BQ57" s="11">
        <v>-6</v>
      </c>
      <c r="BR57" s="99">
        <f t="shared" si="12"/>
        <v>206103.97</v>
      </c>
      <c r="BS57" s="99">
        <f t="shared" si="13"/>
        <v>411996.05200000003</v>
      </c>
    </row>
    <row r="58" spans="1:71" x14ac:dyDescent="0.25">
      <c r="A58" s="33"/>
    </row>
    <row r="59" spans="1:71" x14ac:dyDescent="0.25">
      <c r="A59" s="34" t="s">
        <v>237</v>
      </c>
    </row>
    <row r="60" spans="1:71" x14ac:dyDescent="0.25">
      <c r="A60" s="4" t="s">
        <v>0</v>
      </c>
      <c r="B60" s="105" t="s">
        <v>1</v>
      </c>
      <c r="C60" s="106"/>
      <c r="D60" s="105" t="s">
        <v>2</v>
      </c>
      <c r="E60" s="106"/>
      <c r="F60" s="105" t="s">
        <v>3</v>
      </c>
      <c r="G60" s="106"/>
      <c r="H60" s="105" t="s">
        <v>4</v>
      </c>
      <c r="I60" s="106"/>
      <c r="J60" s="105" t="s">
        <v>5</v>
      </c>
      <c r="K60" s="106"/>
      <c r="L60" s="105" t="s">
        <v>6</v>
      </c>
      <c r="M60" s="106"/>
      <c r="N60" s="105" t="s">
        <v>7</v>
      </c>
      <c r="O60" s="106"/>
      <c r="P60" s="105" t="s">
        <v>8</v>
      </c>
      <c r="Q60" s="106"/>
      <c r="R60" s="105" t="s">
        <v>9</v>
      </c>
      <c r="S60" s="106"/>
      <c r="T60" s="105" t="s">
        <v>10</v>
      </c>
      <c r="U60" s="106"/>
      <c r="V60" s="105" t="s">
        <v>11</v>
      </c>
      <c r="W60" s="106"/>
      <c r="X60" s="105" t="s">
        <v>12</v>
      </c>
      <c r="Y60" s="106"/>
      <c r="Z60" s="105" t="s">
        <v>13</v>
      </c>
      <c r="AA60" s="106"/>
      <c r="AB60" s="105" t="s">
        <v>14</v>
      </c>
      <c r="AC60" s="106"/>
      <c r="AD60" s="105" t="s">
        <v>15</v>
      </c>
      <c r="AE60" s="106"/>
      <c r="AF60" s="105" t="s">
        <v>16</v>
      </c>
      <c r="AG60" s="106"/>
      <c r="AH60" s="105" t="s">
        <v>17</v>
      </c>
      <c r="AI60" s="106"/>
      <c r="AJ60" s="105" t="s">
        <v>18</v>
      </c>
      <c r="AK60" s="106"/>
      <c r="AL60" s="105" t="s">
        <v>19</v>
      </c>
      <c r="AM60" s="106"/>
      <c r="AN60" s="105" t="s">
        <v>20</v>
      </c>
      <c r="AO60" s="106"/>
      <c r="AP60" s="105" t="s">
        <v>21</v>
      </c>
      <c r="AQ60" s="106"/>
      <c r="AR60" s="105" t="s">
        <v>22</v>
      </c>
      <c r="AS60" s="106"/>
      <c r="AT60" s="105" t="s">
        <v>23</v>
      </c>
      <c r="AU60" s="106"/>
      <c r="AV60" s="105" t="s">
        <v>24</v>
      </c>
      <c r="AW60" s="106"/>
      <c r="AX60" s="105" t="s">
        <v>25</v>
      </c>
      <c r="AY60" s="106"/>
      <c r="AZ60" s="105" t="s">
        <v>26</v>
      </c>
      <c r="BA60" s="106"/>
      <c r="BB60" s="105" t="s">
        <v>27</v>
      </c>
      <c r="BC60" s="106"/>
      <c r="BD60" s="105" t="s">
        <v>28</v>
      </c>
      <c r="BE60" s="106"/>
      <c r="BF60" s="105" t="s">
        <v>29</v>
      </c>
      <c r="BG60" s="106"/>
      <c r="BH60" s="105" t="s">
        <v>30</v>
      </c>
      <c r="BI60" s="106"/>
      <c r="BJ60" s="105" t="s">
        <v>31</v>
      </c>
      <c r="BK60" s="106"/>
      <c r="BL60" s="105" t="s">
        <v>32</v>
      </c>
      <c r="BM60" s="106"/>
      <c r="BN60" s="109" t="s">
        <v>33</v>
      </c>
      <c r="BO60" s="110"/>
      <c r="BP60" s="105" t="s">
        <v>34</v>
      </c>
      <c r="BQ60" s="106"/>
      <c r="BR60" s="107" t="s">
        <v>35</v>
      </c>
      <c r="BS60" s="108"/>
    </row>
    <row r="61" spans="1:71" ht="30" x14ac:dyDescent="0.25">
      <c r="A61" s="4"/>
      <c r="B61" s="76" t="s">
        <v>295</v>
      </c>
      <c r="C61" s="77" t="s">
        <v>296</v>
      </c>
      <c r="D61" s="76" t="s">
        <v>295</v>
      </c>
      <c r="E61" s="77" t="s">
        <v>296</v>
      </c>
      <c r="F61" s="76" t="s">
        <v>295</v>
      </c>
      <c r="G61" s="77" t="s">
        <v>296</v>
      </c>
      <c r="H61" s="76" t="s">
        <v>295</v>
      </c>
      <c r="I61" s="77" t="s">
        <v>296</v>
      </c>
      <c r="J61" s="76" t="s">
        <v>295</v>
      </c>
      <c r="K61" s="77" t="s">
        <v>296</v>
      </c>
      <c r="L61" s="76" t="s">
        <v>295</v>
      </c>
      <c r="M61" s="77" t="s">
        <v>296</v>
      </c>
      <c r="N61" s="76" t="s">
        <v>295</v>
      </c>
      <c r="O61" s="77" t="s">
        <v>296</v>
      </c>
      <c r="P61" s="76" t="s">
        <v>295</v>
      </c>
      <c r="Q61" s="77" t="s">
        <v>296</v>
      </c>
      <c r="R61" s="76" t="s">
        <v>295</v>
      </c>
      <c r="S61" s="77" t="s">
        <v>296</v>
      </c>
      <c r="T61" s="76" t="s">
        <v>295</v>
      </c>
      <c r="U61" s="77" t="s">
        <v>296</v>
      </c>
      <c r="V61" s="76" t="s">
        <v>295</v>
      </c>
      <c r="W61" s="77" t="s">
        <v>296</v>
      </c>
      <c r="X61" s="76" t="s">
        <v>295</v>
      </c>
      <c r="Y61" s="77" t="s">
        <v>296</v>
      </c>
      <c r="Z61" s="76" t="s">
        <v>295</v>
      </c>
      <c r="AA61" s="77" t="s">
        <v>296</v>
      </c>
      <c r="AB61" s="76" t="s">
        <v>295</v>
      </c>
      <c r="AC61" s="77" t="s">
        <v>296</v>
      </c>
      <c r="AD61" s="76" t="s">
        <v>295</v>
      </c>
      <c r="AE61" s="77" t="s">
        <v>296</v>
      </c>
      <c r="AF61" s="76" t="s">
        <v>295</v>
      </c>
      <c r="AG61" s="77" t="s">
        <v>296</v>
      </c>
      <c r="AH61" s="76" t="s">
        <v>295</v>
      </c>
      <c r="AI61" s="77" t="s">
        <v>296</v>
      </c>
      <c r="AJ61" s="76" t="s">
        <v>295</v>
      </c>
      <c r="AK61" s="77" t="s">
        <v>296</v>
      </c>
      <c r="AL61" s="76" t="s">
        <v>295</v>
      </c>
      <c r="AM61" s="77" t="s">
        <v>296</v>
      </c>
      <c r="AN61" s="76" t="s">
        <v>295</v>
      </c>
      <c r="AO61" s="77" t="s">
        <v>296</v>
      </c>
      <c r="AP61" s="76" t="s">
        <v>295</v>
      </c>
      <c r="AQ61" s="77" t="s">
        <v>296</v>
      </c>
      <c r="AR61" s="76" t="s">
        <v>295</v>
      </c>
      <c r="AS61" s="77" t="s">
        <v>296</v>
      </c>
      <c r="AT61" s="76" t="s">
        <v>295</v>
      </c>
      <c r="AU61" s="77" t="s">
        <v>296</v>
      </c>
      <c r="AV61" s="76" t="s">
        <v>295</v>
      </c>
      <c r="AW61" s="77" t="s">
        <v>296</v>
      </c>
      <c r="AX61" s="76" t="s">
        <v>295</v>
      </c>
      <c r="AY61" s="77" t="s">
        <v>296</v>
      </c>
      <c r="AZ61" s="76" t="s">
        <v>295</v>
      </c>
      <c r="BA61" s="77" t="s">
        <v>296</v>
      </c>
      <c r="BB61" s="76" t="s">
        <v>295</v>
      </c>
      <c r="BC61" s="77" t="s">
        <v>296</v>
      </c>
      <c r="BD61" s="76" t="s">
        <v>295</v>
      </c>
      <c r="BE61" s="77" t="s">
        <v>296</v>
      </c>
      <c r="BF61" s="76" t="s">
        <v>295</v>
      </c>
      <c r="BG61" s="77" t="s">
        <v>296</v>
      </c>
      <c r="BH61" s="76" t="s">
        <v>295</v>
      </c>
      <c r="BI61" s="77" t="s">
        <v>296</v>
      </c>
      <c r="BJ61" s="76" t="s">
        <v>295</v>
      </c>
      <c r="BK61" s="77" t="s">
        <v>296</v>
      </c>
      <c r="BL61" s="76" t="s">
        <v>295</v>
      </c>
      <c r="BM61" s="77" t="s">
        <v>296</v>
      </c>
      <c r="BN61" s="76" t="s">
        <v>295</v>
      </c>
      <c r="BO61" s="77" t="s">
        <v>296</v>
      </c>
      <c r="BP61" s="76" t="s">
        <v>295</v>
      </c>
      <c r="BQ61" s="77" t="s">
        <v>296</v>
      </c>
      <c r="BR61" s="95" t="s">
        <v>295</v>
      </c>
      <c r="BS61" s="96" t="s">
        <v>296</v>
      </c>
    </row>
    <row r="62" spans="1:71" x14ac:dyDescent="0.25">
      <c r="A62" s="32" t="s">
        <v>239</v>
      </c>
      <c r="B62" s="11"/>
      <c r="C62" s="11"/>
      <c r="D62" s="11"/>
      <c r="E62" s="11"/>
      <c r="F62" s="11"/>
      <c r="G62" s="11"/>
      <c r="H62" s="11"/>
      <c r="I62" s="11"/>
      <c r="J62" s="11">
        <v>-47</v>
      </c>
      <c r="K62" s="11">
        <v>1028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>
        <v>312</v>
      </c>
      <c r="AC62" s="11">
        <v>2297</v>
      </c>
      <c r="AD62" s="11">
        <v>5186</v>
      </c>
      <c r="AE62" s="11">
        <v>9633</v>
      </c>
      <c r="AF62" s="11">
        <v>33</v>
      </c>
      <c r="AG62" s="11">
        <v>33</v>
      </c>
      <c r="AH62" s="11"/>
      <c r="AI62" s="11"/>
      <c r="AJ62" s="12"/>
      <c r="AK62" s="11"/>
      <c r="AL62" s="11"/>
      <c r="AM62" s="11"/>
      <c r="AN62" s="11"/>
      <c r="AO62" s="11"/>
      <c r="AP62" s="11">
        <v>935.71400000000006</v>
      </c>
      <c r="AQ62" s="11">
        <v>1821.3330000000001</v>
      </c>
      <c r="AR62" s="11">
        <v>20151</v>
      </c>
      <c r="AS62" s="11">
        <v>23279</v>
      </c>
      <c r="AT62" s="11">
        <v>1920</v>
      </c>
      <c r="AU62" s="11">
        <v>3800</v>
      </c>
      <c r="AV62" s="11"/>
      <c r="AW62" s="11"/>
      <c r="AX62" s="11">
        <v>1817</v>
      </c>
      <c r="AY62" s="11">
        <v>4470</v>
      </c>
      <c r="AZ62" s="11"/>
      <c r="BA62" s="11"/>
      <c r="BB62" s="11"/>
      <c r="BC62" s="11"/>
      <c r="BD62" s="11"/>
      <c r="BE62" s="11"/>
      <c r="BF62" s="11">
        <v>54</v>
      </c>
      <c r="BG62" s="11">
        <v>54</v>
      </c>
      <c r="BH62" s="11"/>
      <c r="BI62" s="11"/>
      <c r="BJ62" s="11"/>
      <c r="BK62" s="11"/>
      <c r="BL62" s="11"/>
      <c r="BM62" s="11"/>
      <c r="BN62" s="11">
        <v>4138</v>
      </c>
      <c r="BO62" s="11">
        <v>5524</v>
      </c>
      <c r="BP62" s="11"/>
      <c r="BQ62" s="11"/>
      <c r="BR62" s="99">
        <f t="shared" ref="BR62:BR65" si="14">SUM(B62+D62+F62+H62+J62+L62+N62+P62+R62+T62+V62+X62+Z62+AB62+AD62+AF62+AH62+AJ62+AL62+AN62+AP62+AR62+AT62+AV62+AX62+AZ62+BB62+BD62+BF62+BH62+BJ62+BL62+BN62+BP62)</f>
        <v>34499.714</v>
      </c>
      <c r="BS62" s="99">
        <f t="shared" ref="BS62:BS65" si="15">SUM(C62+E62+G62+I62+K62+M62+O62+Q62+S62+U62+W62+Y62+AA62+AC62+AE62+AG62+AI62+AK62+AM62+AO62+AQ62+AS62+AU62+AW62+AY62+BA62+BC62+BE62+BG62+BI62+BK62+BM62+BO62+BQ62)</f>
        <v>51939.332999999999</v>
      </c>
    </row>
    <row r="63" spans="1:71" x14ac:dyDescent="0.25">
      <c r="A63" s="32" t="s">
        <v>290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>
        <v>1314</v>
      </c>
      <c r="AE63" s="11">
        <v>2667</v>
      </c>
      <c r="AF63" s="11"/>
      <c r="AG63" s="11"/>
      <c r="AH63" s="11"/>
      <c r="AI63" s="11"/>
      <c r="AJ63" s="12"/>
      <c r="AK63" s="11"/>
      <c r="AL63" s="11"/>
      <c r="AM63" s="11"/>
      <c r="AN63" s="11"/>
      <c r="AO63" s="11"/>
      <c r="AP63" s="11">
        <v>91.512000000000029</v>
      </c>
      <c r="AQ63" s="11">
        <v>-227.124</v>
      </c>
      <c r="AR63" s="11">
        <v>37213</v>
      </c>
      <c r="AS63" s="11">
        <v>76929</v>
      </c>
      <c r="AT63" s="11">
        <v>16092</v>
      </c>
      <c r="AU63" s="11">
        <v>27166</v>
      </c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>
        <v>5469</v>
      </c>
      <c r="BO63" s="11">
        <v>38243</v>
      </c>
      <c r="BP63" s="11"/>
      <c r="BQ63" s="11"/>
      <c r="BR63" s="99">
        <f t="shared" si="14"/>
        <v>60179.512000000002</v>
      </c>
      <c r="BS63" s="99">
        <f t="shared" si="15"/>
        <v>144777.87599999999</v>
      </c>
    </row>
    <row r="64" spans="1:71" x14ac:dyDescent="0.25">
      <c r="A64" s="32" t="s">
        <v>291</v>
      </c>
      <c r="B64" s="11"/>
      <c r="C64" s="11"/>
      <c r="D64" s="11"/>
      <c r="E64" s="11"/>
      <c r="F64" s="11"/>
      <c r="G64" s="11"/>
      <c r="H64" s="11"/>
      <c r="I64" s="11"/>
      <c r="J64" s="11">
        <v>678</v>
      </c>
      <c r="K64" s="11">
        <v>385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>
        <v>-2298</v>
      </c>
      <c r="AC64" s="11">
        <v>-4021</v>
      </c>
      <c r="AD64" s="11">
        <v>2023</v>
      </c>
      <c r="AE64" s="11">
        <v>5956</v>
      </c>
      <c r="AF64" s="11">
        <v>6</v>
      </c>
      <c r="AG64" s="11">
        <v>8</v>
      </c>
      <c r="AH64" s="11"/>
      <c r="AI64" s="11"/>
      <c r="AJ64" s="12"/>
      <c r="AK64" s="11"/>
      <c r="AL64" s="11"/>
      <c r="AM64" s="11"/>
      <c r="AN64" s="11"/>
      <c r="AO64" s="11"/>
      <c r="AP64" s="11">
        <v>4162.9070000000002</v>
      </c>
      <c r="AQ64" s="11">
        <v>12307.966</v>
      </c>
      <c r="AR64" s="11">
        <v>20188</v>
      </c>
      <c r="AS64" s="11">
        <v>31697</v>
      </c>
      <c r="AT64" s="11">
        <v>7946</v>
      </c>
      <c r="AU64" s="11">
        <v>10593</v>
      </c>
      <c r="AV64" s="11"/>
      <c r="AW64" s="11"/>
      <c r="AX64" s="11">
        <v>1533</v>
      </c>
      <c r="AY64" s="11">
        <v>3425</v>
      </c>
      <c r="AZ64" s="11"/>
      <c r="BA64" s="11"/>
      <c r="BB64" s="11"/>
      <c r="BC64" s="11"/>
      <c r="BD64" s="11"/>
      <c r="BE64" s="11"/>
      <c r="BF64" s="11">
        <v>3</v>
      </c>
      <c r="BG64" s="11">
        <v>3</v>
      </c>
      <c r="BH64" s="11"/>
      <c r="BI64" s="11"/>
      <c r="BJ64" s="11"/>
      <c r="BK64" s="11"/>
      <c r="BL64" s="11"/>
      <c r="BM64" s="11"/>
      <c r="BN64" s="11">
        <v>2559</v>
      </c>
      <c r="BO64" s="11">
        <v>5300</v>
      </c>
      <c r="BP64" s="11"/>
      <c r="BQ64" s="11"/>
      <c r="BR64" s="99">
        <f t="shared" si="14"/>
        <v>36800.906999999999</v>
      </c>
      <c r="BS64" s="99">
        <f t="shared" si="15"/>
        <v>65653.966</v>
      </c>
    </row>
    <row r="65" spans="1:71" x14ac:dyDescent="0.25">
      <c r="A65" s="32" t="s">
        <v>240</v>
      </c>
      <c r="B65" s="11"/>
      <c r="C65" s="11"/>
      <c r="D65" s="11"/>
      <c r="E65" s="11"/>
      <c r="F65" s="11"/>
      <c r="G65" s="11"/>
      <c r="H65" s="11"/>
      <c r="I65" s="11"/>
      <c r="J65" s="11">
        <v>-725</v>
      </c>
      <c r="K65" s="11">
        <v>643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>
        <v>-1987</v>
      </c>
      <c r="AC65" s="11">
        <v>-1724</v>
      </c>
      <c r="AD65" s="11">
        <v>4477</v>
      </c>
      <c r="AE65" s="11">
        <v>6344</v>
      </c>
      <c r="AF65" s="11">
        <v>27</v>
      </c>
      <c r="AG65" s="11">
        <v>25</v>
      </c>
      <c r="AH65" s="11"/>
      <c r="AI65" s="11"/>
      <c r="AJ65" s="12"/>
      <c r="AK65" s="11"/>
      <c r="AL65" s="11"/>
      <c r="AM65" s="11"/>
      <c r="AN65" s="11"/>
      <c r="AO65" s="11"/>
      <c r="AP65" s="11">
        <v>-3135.681</v>
      </c>
      <c r="AQ65" s="11">
        <v>-10713.757</v>
      </c>
      <c r="AR65" s="11">
        <v>37176</v>
      </c>
      <c r="AS65" s="11">
        <v>68511</v>
      </c>
      <c r="AT65" s="11">
        <v>10066</v>
      </c>
      <c r="AU65" s="11">
        <v>20373</v>
      </c>
      <c r="AV65" s="11"/>
      <c r="AW65" s="11"/>
      <c r="AX65" s="11">
        <v>284</v>
      </c>
      <c r="AY65" s="11">
        <v>1045</v>
      </c>
      <c r="AZ65" s="11"/>
      <c r="BA65" s="11"/>
      <c r="BB65" s="11"/>
      <c r="BC65" s="11"/>
      <c r="BD65" s="11"/>
      <c r="BE65" s="11"/>
      <c r="BF65" s="11">
        <v>51</v>
      </c>
      <c r="BG65" s="11">
        <v>51</v>
      </c>
      <c r="BH65" s="11"/>
      <c r="BI65" s="11"/>
      <c r="BJ65" s="11"/>
      <c r="BK65" s="11"/>
      <c r="BL65" s="11"/>
      <c r="BM65" s="11"/>
      <c r="BN65" s="11">
        <v>7048</v>
      </c>
      <c r="BO65" s="11">
        <v>38467</v>
      </c>
      <c r="BP65" s="11"/>
      <c r="BQ65" s="11"/>
      <c r="BR65" s="99">
        <f t="shared" si="14"/>
        <v>53281.319000000003</v>
      </c>
      <c r="BS65" s="99">
        <f t="shared" si="15"/>
        <v>123021.243</v>
      </c>
    </row>
    <row r="66" spans="1:71" x14ac:dyDescent="0.25">
      <c r="A66" s="30"/>
    </row>
    <row r="67" spans="1:71" x14ac:dyDescent="0.25">
      <c r="A67" s="31" t="s">
        <v>238</v>
      </c>
    </row>
    <row r="68" spans="1:71" x14ac:dyDescent="0.25">
      <c r="A68" s="4" t="s">
        <v>0</v>
      </c>
      <c r="B68" s="105" t="s">
        <v>1</v>
      </c>
      <c r="C68" s="106"/>
      <c r="D68" s="105" t="s">
        <v>2</v>
      </c>
      <c r="E68" s="106"/>
      <c r="F68" s="105" t="s">
        <v>3</v>
      </c>
      <c r="G68" s="106"/>
      <c r="H68" s="105" t="s">
        <v>4</v>
      </c>
      <c r="I68" s="106"/>
      <c r="J68" s="105" t="s">
        <v>5</v>
      </c>
      <c r="K68" s="106"/>
      <c r="L68" s="105" t="s">
        <v>6</v>
      </c>
      <c r="M68" s="106"/>
      <c r="N68" s="105" t="s">
        <v>7</v>
      </c>
      <c r="O68" s="106"/>
      <c r="P68" s="105" t="s">
        <v>8</v>
      </c>
      <c r="Q68" s="106"/>
      <c r="R68" s="105" t="s">
        <v>9</v>
      </c>
      <c r="S68" s="106"/>
      <c r="T68" s="105" t="s">
        <v>10</v>
      </c>
      <c r="U68" s="106"/>
      <c r="V68" s="105" t="s">
        <v>11</v>
      </c>
      <c r="W68" s="106"/>
      <c r="X68" s="105" t="s">
        <v>12</v>
      </c>
      <c r="Y68" s="106"/>
      <c r="Z68" s="105" t="s">
        <v>13</v>
      </c>
      <c r="AA68" s="106"/>
      <c r="AB68" s="105" t="s">
        <v>14</v>
      </c>
      <c r="AC68" s="106"/>
      <c r="AD68" s="105" t="s">
        <v>15</v>
      </c>
      <c r="AE68" s="106"/>
      <c r="AF68" s="105" t="s">
        <v>16</v>
      </c>
      <c r="AG68" s="106"/>
      <c r="AH68" s="105" t="s">
        <v>17</v>
      </c>
      <c r="AI68" s="106"/>
      <c r="AJ68" s="105" t="s">
        <v>18</v>
      </c>
      <c r="AK68" s="106"/>
      <c r="AL68" s="105" t="s">
        <v>19</v>
      </c>
      <c r="AM68" s="106"/>
      <c r="AN68" s="105" t="s">
        <v>20</v>
      </c>
      <c r="AO68" s="106"/>
      <c r="AP68" s="105" t="s">
        <v>21</v>
      </c>
      <c r="AQ68" s="106"/>
      <c r="AR68" s="105" t="s">
        <v>22</v>
      </c>
      <c r="AS68" s="106"/>
      <c r="AT68" s="105" t="s">
        <v>23</v>
      </c>
      <c r="AU68" s="106"/>
      <c r="AV68" s="105" t="s">
        <v>24</v>
      </c>
      <c r="AW68" s="106"/>
      <c r="AX68" s="105" t="s">
        <v>25</v>
      </c>
      <c r="AY68" s="106"/>
      <c r="AZ68" s="105" t="s">
        <v>26</v>
      </c>
      <c r="BA68" s="106"/>
      <c r="BB68" s="105" t="s">
        <v>27</v>
      </c>
      <c r="BC68" s="106"/>
      <c r="BD68" s="105" t="s">
        <v>28</v>
      </c>
      <c r="BE68" s="106"/>
      <c r="BF68" s="105" t="s">
        <v>29</v>
      </c>
      <c r="BG68" s="106"/>
      <c r="BH68" s="105" t="s">
        <v>30</v>
      </c>
      <c r="BI68" s="106"/>
      <c r="BJ68" s="105" t="s">
        <v>31</v>
      </c>
      <c r="BK68" s="106"/>
      <c r="BL68" s="105" t="s">
        <v>32</v>
      </c>
      <c r="BM68" s="106"/>
      <c r="BN68" s="109" t="s">
        <v>33</v>
      </c>
      <c r="BO68" s="110"/>
      <c r="BP68" s="105" t="s">
        <v>34</v>
      </c>
      <c r="BQ68" s="106"/>
      <c r="BR68" s="107" t="s">
        <v>35</v>
      </c>
      <c r="BS68" s="108"/>
    </row>
    <row r="69" spans="1:71" ht="30" x14ac:dyDescent="0.25">
      <c r="A69" s="4"/>
      <c r="B69" s="76" t="s">
        <v>295</v>
      </c>
      <c r="C69" s="77" t="s">
        <v>296</v>
      </c>
      <c r="D69" s="76" t="s">
        <v>295</v>
      </c>
      <c r="E69" s="77" t="s">
        <v>296</v>
      </c>
      <c r="F69" s="76" t="s">
        <v>295</v>
      </c>
      <c r="G69" s="77" t="s">
        <v>296</v>
      </c>
      <c r="H69" s="76" t="s">
        <v>295</v>
      </c>
      <c r="I69" s="77" t="s">
        <v>296</v>
      </c>
      <c r="J69" s="76" t="s">
        <v>295</v>
      </c>
      <c r="K69" s="77" t="s">
        <v>296</v>
      </c>
      <c r="L69" s="76" t="s">
        <v>295</v>
      </c>
      <c r="M69" s="77" t="s">
        <v>296</v>
      </c>
      <c r="N69" s="76" t="s">
        <v>295</v>
      </c>
      <c r="O69" s="77" t="s">
        <v>296</v>
      </c>
      <c r="P69" s="76" t="s">
        <v>295</v>
      </c>
      <c r="Q69" s="77" t="s">
        <v>296</v>
      </c>
      <c r="R69" s="76" t="s">
        <v>295</v>
      </c>
      <c r="S69" s="77" t="s">
        <v>296</v>
      </c>
      <c r="T69" s="76" t="s">
        <v>295</v>
      </c>
      <c r="U69" s="77" t="s">
        <v>296</v>
      </c>
      <c r="V69" s="76" t="s">
        <v>295</v>
      </c>
      <c r="W69" s="77" t="s">
        <v>296</v>
      </c>
      <c r="X69" s="76" t="s">
        <v>295</v>
      </c>
      <c r="Y69" s="77" t="s">
        <v>296</v>
      </c>
      <c r="Z69" s="76" t="s">
        <v>295</v>
      </c>
      <c r="AA69" s="77" t="s">
        <v>296</v>
      </c>
      <c r="AB69" s="76" t="s">
        <v>295</v>
      </c>
      <c r="AC69" s="77" t="s">
        <v>296</v>
      </c>
      <c r="AD69" s="76" t="s">
        <v>295</v>
      </c>
      <c r="AE69" s="77" t="s">
        <v>296</v>
      </c>
      <c r="AF69" s="76" t="s">
        <v>295</v>
      </c>
      <c r="AG69" s="77" t="s">
        <v>296</v>
      </c>
      <c r="AH69" s="76" t="s">
        <v>295</v>
      </c>
      <c r="AI69" s="77" t="s">
        <v>296</v>
      </c>
      <c r="AJ69" s="76" t="s">
        <v>295</v>
      </c>
      <c r="AK69" s="77" t="s">
        <v>296</v>
      </c>
      <c r="AL69" s="76" t="s">
        <v>295</v>
      </c>
      <c r="AM69" s="77" t="s">
        <v>296</v>
      </c>
      <c r="AN69" s="76" t="s">
        <v>295</v>
      </c>
      <c r="AO69" s="77" t="s">
        <v>296</v>
      </c>
      <c r="AP69" s="76" t="s">
        <v>295</v>
      </c>
      <c r="AQ69" s="77" t="s">
        <v>296</v>
      </c>
      <c r="AR69" s="76" t="s">
        <v>295</v>
      </c>
      <c r="AS69" s="77" t="s">
        <v>296</v>
      </c>
      <c r="AT69" s="76" t="s">
        <v>295</v>
      </c>
      <c r="AU69" s="77" t="s">
        <v>296</v>
      </c>
      <c r="AV69" s="76" t="s">
        <v>295</v>
      </c>
      <c r="AW69" s="77" t="s">
        <v>296</v>
      </c>
      <c r="AX69" s="76" t="s">
        <v>295</v>
      </c>
      <c r="AY69" s="77" t="s">
        <v>296</v>
      </c>
      <c r="AZ69" s="76" t="s">
        <v>295</v>
      </c>
      <c r="BA69" s="77" t="s">
        <v>296</v>
      </c>
      <c r="BB69" s="76" t="s">
        <v>295</v>
      </c>
      <c r="BC69" s="77" t="s">
        <v>296</v>
      </c>
      <c r="BD69" s="76" t="s">
        <v>295</v>
      </c>
      <c r="BE69" s="77" t="s">
        <v>296</v>
      </c>
      <c r="BF69" s="76" t="s">
        <v>295</v>
      </c>
      <c r="BG69" s="77" t="s">
        <v>296</v>
      </c>
      <c r="BH69" s="76" t="s">
        <v>295</v>
      </c>
      <c r="BI69" s="77" t="s">
        <v>296</v>
      </c>
      <c r="BJ69" s="76" t="s">
        <v>295</v>
      </c>
      <c r="BK69" s="77" t="s">
        <v>296</v>
      </c>
      <c r="BL69" s="76" t="s">
        <v>295</v>
      </c>
      <c r="BM69" s="77" t="s">
        <v>296</v>
      </c>
      <c r="BN69" s="76" t="s">
        <v>295</v>
      </c>
      <c r="BO69" s="77" t="s">
        <v>296</v>
      </c>
      <c r="BP69" s="76" t="s">
        <v>295</v>
      </c>
      <c r="BQ69" s="77" t="s">
        <v>296</v>
      </c>
      <c r="BR69" s="95" t="s">
        <v>295</v>
      </c>
      <c r="BS69" s="96" t="s">
        <v>296</v>
      </c>
    </row>
    <row r="70" spans="1:71" x14ac:dyDescent="0.25">
      <c r="A70" s="32" t="s">
        <v>239</v>
      </c>
      <c r="B70" s="11">
        <f>B78-B62-B54-B46-B38-B30-B22-B14-B6</f>
        <v>0</v>
      </c>
      <c r="C70" s="11">
        <f t="shared" ref="C70:AI70" si="16">C78-C62-C54-C46-C38-C30-C22-C14-C6</f>
        <v>0</v>
      </c>
      <c r="D70" s="11">
        <f t="shared" si="16"/>
        <v>0</v>
      </c>
      <c r="E70" s="11">
        <f t="shared" si="16"/>
        <v>0</v>
      </c>
      <c r="F70" s="11">
        <f t="shared" si="16"/>
        <v>131026</v>
      </c>
      <c r="G70" s="11">
        <f t="shared" si="16"/>
        <v>141087</v>
      </c>
      <c r="H70" s="11">
        <f t="shared" si="16"/>
        <v>8521</v>
      </c>
      <c r="I70" s="11">
        <f t="shared" si="16"/>
        <v>18515</v>
      </c>
      <c r="J70" s="11">
        <f t="shared" si="16"/>
        <v>289638</v>
      </c>
      <c r="K70" s="11">
        <f t="shared" si="16"/>
        <v>211120</v>
      </c>
      <c r="L70" s="11">
        <f t="shared" si="16"/>
        <v>7308</v>
      </c>
      <c r="M70" s="11">
        <f t="shared" si="16"/>
        <v>16575</v>
      </c>
      <c r="N70" s="11">
        <f t="shared" si="16"/>
        <v>23849</v>
      </c>
      <c r="O70" s="11">
        <f t="shared" si="16"/>
        <v>46650</v>
      </c>
      <c r="P70" s="11">
        <f t="shared" si="16"/>
        <v>0</v>
      </c>
      <c r="Q70" s="11">
        <f t="shared" si="16"/>
        <v>0</v>
      </c>
      <c r="R70" s="11">
        <f t="shared" si="16"/>
        <v>0</v>
      </c>
      <c r="S70" s="11">
        <f t="shared" si="16"/>
        <v>138</v>
      </c>
      <c r="T70" s="11">
        <f t="shared" si="16"/>
        <v>3</v>
      </c>
      <c r="U70" s="11">
        <f t="shared" si="16"/>
        <v>74</v>
      </c>
      <c r="V70" s="11">
        <f t="shared" si="16"/>
        <v>16900.39</v>
      </c>
      <c r="W70" s="11">
        <f t="shared" si="16"/>
        <v>23582.61</v>
      </c>
      <c r="X70" s="11">
        <f t="shared" si="16"/>
        <v>39130</v>
      </c>
      <c r="Y70" s="11">
        <f t="shared" si="16"/>
        <v>73770</v>
      </c>
      <c r="Z70" s="11">
        <f t="shared" si="16"/>
        <v>749</v>
      </c>
      <c r="AA70" s="11">
        <f t="shared" si="16"/>
        <v>1155</v>
      </c>
      <c r="AB70" s="11">
        <f t="shared" si="16"/>
        <v>111444</v>
      </c>
      <c r="AC70" s="11">
        <f t="shared" si="16"/>
        <v>219155</v>
      </c>
      <c r="AD70" s="11">
        <f t="shared" si="16"/>
        <v>128133</v>
      </c>
      <c r="AE70" s="11">
        <f t="shared" si="16"/>
        <v>288965</v>
      </c>
      <c r="AF70" s="11">
        <f t="shared" si="16"/>
        <v>923358</v>
      </c>
      <c r="AG70" s="11">
        <f t="shared" si="16"/>
        <v>195742</v>
      </c>
      <c r="AH70" s="11">
        <f t="shared" si="16"/>
        <v>6114</v>
      </c>
      <c r="AI70" s="11">
        <f t="shared" si="16"/>
        <v>9455</v>
      </c>
      <c r="AJ70" s="11">
        <f t="shared" ref="AJ70:BQ70" si="17">AJ78-AJ62-AJ54-AJ46-AJ38-AJ30-AJ22-AJ14-AJ6</f>
        <v>25439</v>
      </c>
      <c r="AK70" s="11">
        <f t="shared" si="17"/>
        <v>49091</v>
      </c>
      <c r="AL70" s="11">
        <f t="shared" si="17"/>
        <v>2066</v>
      </c>
      <c r="AM70" s="11">
        <f t="shared" si="17"/>
        <v>4394</v>
      </c>
      <c r="AN70" s="11">
        <f t="shared" si="17"/>
        <v>0</v>
      </c>
      <c r="AO70" s="11">
        <f t="shared" si="17"/>
        <v>0</v>
      </c>
      <c r="AP70" s="11">
        <f t="shared" si="17"/>
        <v>111577.71099999949</v>
      </c>
      <c r="AQ70" s="11">
        <f t="shared" si="17"/>
        <v>228055.45599999989</v>
      </c>
      <c r="AR70" s="11">
        <f t="shared" si="17"/>
        <v>402541</v>
      </c>
      <c r="AS70" s="11">
        <f t="shared" si="17"/>
        <v>832466</v>
      </c>
      <c r="AT70" s="11">
        <f t="shared" si="17"/>
        <v>258515</v>
      </c>
      <c r="AU70" s="11">
        <f t="shared" si="17"/>
        <v>477780</v>
      </c>
      <c r="AV70" s="11">
        <f t="shared" si="17"/>
        <v>20201</v>
      </c>
      <c r="AW70" s="11">
        <f t="shared" si="17"/>
        <v>38859</v>
      </c>
      <c r="AX70" s="11">
        <f t="shared" si="17"/>
        <v>19257</v>
      </c>
      <c r="AY70" s="11">
        <f t="shared" si="17"/>
        <v>47861</v>
      </c>
      <c r="AZ70" s="11">
        <f t="shared" si="17"/>
        <v>0</v>
      </c>
      <c r="BA70" s="11">
        <f t="shared" si="17"/>
        <v>0</v>
      </c>
      <c r="BB70" s="11">
        <f t="shared" si="17"/>
        <v>0</v>
      </c>
      <c r="BC70" s="11">
        <f t="shared" si="17"/>
        <v>0</v>
      </c>
      <c r="BD70" s="11">
        <f t="shared" si="17"/>
        <v>2738</v>
      </c>
      <c r="BE70" s="11">
        <f t="shared" si="17"/>
        <v>9366</v>
      </c>
      <c r="BF70" s="11">
        <f t="shared" si="17"/>
        <v>54964</v>
      </c>
      <c r="BG70" s="11">
        <f t="shared" si="17"/>
        <v>99511</v>
      </c>
      <c r="BH70" s="11">
        <f t="shared" si="17"/>
        <v>3910</v>
      </c>
      <c r="BI70" s="11">
        <f t="shared" si="17"/>
        <v>6186</v>
      </c>
      <c r="BJ70" s="11">
        <f t="shared" si="17"/>
        <v>2107246</v>
      </c>
      <c r="BK70" s="11">
        <f t="shared" si="17"/>
        <v>3579593</v>
      </c>
      <c r="BL70" s="11">
        <f t="shared" si="17"/>
        <v>34904</v>
      </c>
      <c r="BM70" s="11">
        <f t="shared" si="17"/>
        <v>70184</v>
      </c>
      <c r="BN70" s="11">
        <f t="shared" si="17"/>
        <v>139256</v>
      </c>
      <c r="BO70" s="11">
        <f t="shared" si="17"/>
        <v>285349</v>
      </c>
      <c r="BP70" s="11">
        <f t="shared" ref="BP70" si="18">BP78-BP62-BP54-BP46-BP38-BP30-BP22-BP14-BP6</f>
        <v>19971</v>
      </c>
      <c r="BQ70" s="11">
        <f t="shared" si="17"/>
        <v>43109</v>
      </c>
      <c r="BR70" s="99">
        <f t="shared" ref="BR70:BR73" si="19">SUM(B70+D70+F70+H70+J70+L70+N70+P70+R70+T70+V70+X70+Z70+AB70+AD70+AF70+AH70+AJ70+AL70+AN70+AP70+AR70+AT70+AV70+AX70+AZ70+BB70+BD70+BF70+BH70+BJ70+BL70+BN70+BP70)</f>
        <v>4888759.1009999998</v>
      </c>
      <c r="BS70" s="99">
        <f t="shared" ref="BS70:BS73" si="20">SUM(C70+E70+G70+I70+K70+M70+O70+Q70+S70+U70+W70+Y70+AA70+AC70+AE70+AG70+AI70+AK70+AM70+AO70+AQ70+AS70+AU70+AW70+AY70+BA70+BC70+BE70+BG70+BI70+BK70+BM70+BO70+BQ70)</f>
        <v>7017788.0659999996</v>
      </c>
    </row>
    <row r="71" spans="1:71" x14ac:dyDescent="0.25">
      <c r="A71" s="32" t="s">
        <v>290</v>
      </c>
      <c r="B71" s="11">
        <f t="shared" ref="B71:AI71" si="21">B79-B63-B55-B47-B39-B31-B23-B15-B7</f>
        <v>0</v>
      </c>
      <c r="C71" s="11">
        <f t="shared" si="21"/>
        <v>0</v>
      </c>
      <c r="D71" s="11">
        <f t="shared" si="21"/>
        <v>0</v>
      </c>
      <c r="E71" s="11">
        <f t="shared" si="21"/>
        <v>0</v>
      </c>
      <c r="F71" s="11">
        <f t="shared" si="21"/>
        <v>-53</v>
      </c>
      <c r="G71" s="11">
        <f t="shared" si="21"/>
        <v>-53</v>
      </c>
      <c r="H71" s="11">
        <f t="shared" si="21"/>
        <v>0</v>
      </c>
      <c r="I71" s="11">
        <f t="shared" si="21"/>
        <v>0</v>
      </c>
      <c r="J71" s="11">
        <f t="shared" si="21"/>
        <v>152</v>
      </c>
      <c r="K71" s="11">
        <f t="shared" si="21"/>
        <v>923</v>
      </c>
      <c r="L71" s="11">
        <f t="shared" si="21"/>
        <v>1</v>
      </c>
      <c r="M71" s="11">
        <f t="shared" si="21"/>
        <v>0</v>
      </c>
      <c r="N71" s="11">
        <f t="shared" si="21"/>
        <v>0</v>
      </c>
      <c r="O71" s="11">
        <f t="shared" si="21"/>
        <v>0</v>
      </c>
      <c r="P71" s="11">
        <f t="shared" si="21"/>
        <v>0</v>
      </c>
      <c r="Q71" s="11">
        <f t="shared" si="21"/>
        <v>0</v>
      </c>
      <c r="R71" s="11">
        <f t="shared" si="21"/>
        <v>0</v>
      </c>
      <c r="S71" s="11">
        <f t="shared" si="21"/>
        <v>0</v>
      </c>
      <c r="T71" s="11">
        <f t="shared" si="21"/>
        <v>0</v>
      </c>
      <c r="U71" s="11">
        <f t="shared" si="21"/>
        <v>0</v>
      </c>
      <c r="V71" s="11">
        <f t="shared" si="21"/>
        <v>0</v>
      </c>
      <c r="W71" s="11">
        <f t="shared" si="21"/>
        <v>0</v>
      </c>
      <c r="X71" s="11">
        <f t="shared" si="21"/>
        <v>-1</v>
      </c>
      <c r="Y71" s="11">
        <f t="shared" si="21"/>
        <v>0</v>
      </c>
      <c r="Z71" s="11">
        <f t="shared" si="21"/>
        <v>1341</v>
      </c>
      <c r="AA71" s="11">
        <f t="shared" si="21"/>
        <v>2390</v>
      </c>
      <c r="AB71" s="11">
        <f t="shared" si="21"/>
        <v>9335</v>
      </c>
      <c r="AC71" s="11">
        <f t="shared" si="21"/>
        <v>19768</v>
      </c>
      <c r="AD71" s="11">
        <f t="shared" si="21"/>
        <v>3789</v>
      </c>
      <c r="AE71" s="11">
        <f t="shared" si="21"/>
        <v>8190</v>
      </c>
      <c r="AF71" s="11">
        <f t="shared" si="21"/>
        <v>1391</v>
      </c>
      <c r="AG71" s="11">
        <f t="shared" si="21"/>
        <v>2492</v>
      </c>
      <c r="AH71" s="11">
        <f t="shared" si="21"/>
        <v>0</v>
      </c>
      <c r="AI71" s="11">
        <f t="shared" si="21"/>
        <v>0</v>
      </c>
      <c r="AJ71" s="11">
        <f t="shared" ref="AJ71:BQ71" si="22">AJ79-AJ63-AJ55-AJ47-AJ39-AJ31-AJ23-AJ15-AJ7</f>
        <v>0</v>
      </c>
      <c r="AK71" s="11">
        <f t="shared" si="22"/>
        <v>0</v>
      </c>
      <c r="AL71" s="11">
        <f t="shared" si="22"/>
        <v>74</v>
      </c>
      <c r="AM71" s="11">
        <f t="shared" si="22"/>
        <v>74</v>
      </c>
      <c r="AN71" s="11">
        <f t="shared" si="22"/>
        <v>0</v>
      </c>
      <c r="AO71" s="11">
        <f t="shared" si="22"/>
        <v>0</v>
      </c>
      <c r="AP71" s="11">
        <f t="shared" si="22"/>
        <v>10856.296000000002</v>
      </c>
      <c r="AQ71" s="11">
        <f t="shared" si="22"/>
        <v>12722.592999999993</v>
      </c>
      <c r="AR71" s="11">
        <f t="shared" si="22"/>
        <v>5488</v>
      </c>
      <c r="AS71" s="11">
        <f t="shared" si="22"/>
        <v>36658</v>
      </c>
      <c r="AT71" s="11">
        <f t="shared" si="22"/>
        <v>27494</v>
      </c>
      <c r="AU71" s="11">
        <f t="shared" si="22"/>
        <v>29648</v>
      </c>
      <c r="AV71" s="11">
        <f t="shared" si="22"/>
        <v>11389</v>
      </c>
      <c r="AW71" s="11">
        <f t="shared" si="22"/>
        <v>21457</v>
      </c>
      <c r="AX71" s="11">
        <f t="shared" si="22"/>
        <v>-2</v>
      </c>
      <c r="AY71" s="11">
        <f t="shared" si="22"/>
        <v>24</v>
      </c>
      <c r="AZ71" s="11">
        <f t="shared" si="22"/>
        <v>0</v>
      </c>
      <c r="BA71" s="11">
        <f t="shared" si="22"/>
        <v>0</v>
      </c>
      <c r="BB71" s="11">
        <f t="shared" si="22"/>
        <v>0</v>
      </c>
      <c r="BC71" s="11">
        <f t="shared" si="22"/>
        <v>0</v>
      </c>
      <c r="BD71" s="11">
        <f t="shared" si="22"/>
        <v>0</v>
      </c>
      <c r="BE71" s="11">
        <f t="shared" si="22"/>
        <v>1116</v>
      </c>
      <c r="BF71" s="11">
        <f t="shared" si="22"/>
        <v>0</v>
      </c>
      <c r="BG71" s="11">
        <f t="shared" si="22"/>
        <v>0</v>
      </c>
      <c r="BH71" s="11">
        <f t="shared" si="22"/>
        <v>0</v>
      </c>
      <c r="BI71" s="11">
        <f t="shared" si="22"/>
        <v>-1</v>
      </c>
      <c r="BJ71" s="11">
        <f t="shared" si="22"/>
        <v>0</v>
      </c>
      <c r="BK71" s="11">
        <f t="shared" si="22"/>
        <v>0</v>
      </c>
      <c r="BL71" s="11">
        <f t="shared" si="22"/>
        <v>0</v>
      </c>
      <c r="BM71" s="11">
        <f t="shared" si="22"/>
        <v>0</v>
      </c>
      <c r="BN71" s="11">
        <f t="shared" si="22"/>
        <v>63</v>
      </c>
      <c r="BO71" s="11">
        <f t="shared" si="22"/>
        <v>-39635</v>
      </c>
      <c r="BP71" s="11">
        <f t="shared" ref="BP71" si="23">BP79-BP63-BP55-BP47-BP39-BP31-BP23-BP15-BP7</f>
        <v>0</v>
      </c>
      <c r="BQ71" s="11">
        <f t="shared" si="22"/>
        <v>0</v>
      </c>
      <c r="BR71" s="99">
        <f t="shared" si="19"/>
        <v>71317.296000000002</v>
      </c>
      <c r="BS71" s="99">
        <f t="shared" si="20"/>
        <v>95773.592999999993</v>
      </c>
    </row>
    <row r="72" spans="1:71" x14ac:dyDescent="0.25">
      <c r="A72" s="32" t="s">
        <v>291</v>
      </c>
      <c r="B72" s="11">
        <f t="shared" ref="B72:AI72" si="24">B80-B64-B56-B48-B40-B32-B24-B16-B8</f>
        <v>0</v>
      </c>
      <c r="C72" s="11">
        <f t="shared" si="24"/>
        <v>0</v>
      </c>
      <c r="D72" s="11">
        <f t="shared" si="24"/>
        <v>0</v>
      </c>
      <c r="E72" s="11">
        <f t="shared" si="24"/>
        <v>0</v>
      </c>
      <c r="F72" s="11">
        <f t="shared" si="24"/>
        <v>2000618</v>
      </c>
      <c r="G72" s="11">
        <f t="shared" si="24"/>
        <v>2031118</v>
      </c>
      <c r="H72" s="11">
        <f t="shared" si="24"/>
        <v>586</v>
      </c>
      <c r="I72" s="11">
        <f t="shared" si="24"/>
        <v>1365</v>
      </c>
      <c r="J72" s="11">
        <f t="shared" si="24"/>
        <v>1260796</v>
      </c>
      <c r="K72" s="11">
        <f t="shared" si="24"/>
        <v>398205</v>
      </c>
      <c r="L72" s="11">
        <f t="shared" si="24"/>
        <v>185109</v>
      </c>
      <c r="M72" s="11">
        <f t="shared" si="24"/>
        <v>192635</v>
      </c>
      <c r="N72" s="11">
        <f t="shared" si="24"/>
        <v>1406</v>
      </c>
      <c r="O72" s="11">
        <f t="shared" si="24"/>
        <v>-2196</v>
      </c>
      <c r="P72" s="11">
        <f t="shared" si="24"/>
        <v>0</v>
      </c>
      <c r="Q72" s="11">
        <f t="shared" si="24"/>
        <v>0</v>
      </c>
      <c r="R72" s="11">
        <f t="shared" si="24"/>
        <v>-138</v>
      </c>
      <c r="S72" s="11">
        <f t="shared" si="24"/>
        <v>-155</v>
      </c>
      <c r="T72" s="11">
        <f t="shared" si="24"/>
        <v>3</v>
      </c>
      <c r="U72" s="11">
        <f t="shared" si="24"/>
        <v>11</v>
      </c>
      <c r="V72" s="11">
        <f t="shared" si="24"/>
        <v>103813.98</v>
      </c>
      <c r="W72" s="11">
        <f t="shared" si="24"/>
        <v>207422.97</v>
      </c>
      <c r="X72" s="11">
        <f t="shared" si="24"/>
        <v>109502</v>
      </c>
      <c r="Y72" s="11">
        <f t="shared" si="24"/>
        <v>126986</v>
      </c>
      <c r="Z72" s="11">
        <f t="shared" si="24"/>
        <v>3009</v>
      </c>
      <c r="AA72" s="11">
        <f t="shared" si="24"/>
        <v>4789</v>
      </c>
      <c r="AB72" s="11">
        <f t="shared" si="24"/>
        <v>-939353</v>
      </c>
      <c r="AC72" s="11">
        <f t="shared" si="24"/>
        <v>-1027502</v>
      </c>
      <c r="AD72" s="11">
        <f t="shared" si="24"/>
        <v>92990</v>
      </c>
      <c r="AE72" s="11">
        <f t="shared" si="24"/>
        <v>156871</v>
      </c>
      <c r="AF72" s="11">
        <f t="shared" si="24"/>
        <v>283026</v>
      </c>
      <c r="AG72" s="11">
        <f t="shared" si="24"/>
        <v>419326</v>
      </c>
      <c r="AH72" s="11">
        <f t="shared" si="24"/>
        <v>1645</v>
      </c>
      <c r="AI72" s="11">
        <f t="shared" si="24"/>
        <v>2664</v>
      </c>
      <c r="AJ72" s="11">
        <f t="shared" ref="AJ72:BQ72" si="25">AJ80-AJ64-AJ56-AJ48-AJ40-AJ32-AJ24-AJ16-AJ8</f>
        <v>5203</v>
      </c>
      <c r="AK72" s="11">
        <f t="shared" si="25"/>
        <v>15960</v>
      </c>
      <c r="AL72" s="11">
        <f t="shared" si="25"/>
        <v>-5184</v>
      </c>
      <c r="AM72" s="11">
        <f t="shared" si="25"/>
        <v>-9384</v>
      </c>
      <c r="AN72" s="11">
        <f t="shared" si="25"/>
        <v>0</v>
      </c>
      <c r="AO72" s="11">
        <f t="shared" si="25"/>
        <v>0</v>
      </c>
      <c r="AP72" s="11">
        <f t="shared" si="25"/>
        <v>214064.19300000026</v>
      </c>
      <c r="AQ72" s="11">
        <f t="shared" si="25"/>
        <v>261521.96500000003</v>
      </c>
      <c r="AR72" s="11">
        <f t="shared" si="25"/>
        <v>350250</v>
      </c>
      <c r="AS72" s="11">
        <f t="shared" si="25"/>
        <v>455074</v>
      </c>
      <c r="AT72" s="11">
        <f t="shared" si="25"/>
        <v>218881</v>
      </c>
      <c r="AU72" s="11">
        <f t="shared" si="25"/>
        <v>380117</v>
      </c>
      <c r="AV72" s="11">
        <f t="shared" si="25"/>
        <v>9294</v>
      </c>
      <c r="AW72" s="11">
        <f t="shared" si="25"/>
        <v>16357</v>
      </c>
      <c r="AX72" s="11">
        <f t="shared" si="25"/>
        <v>441376</v>
      </c>
      <c r="AY72" s="11">
        <f t="shared" si="25"/>
        <v>481753</v>
      </c>
      <c r="AZ72" s="11">
        <f t="shared" si="25"/>
        <v>0</v>
      </c>
      <c r="BA72" s="11">
        <f t="shared" si="25"/>
        <v>0</v>
      </c>
      <c r="BB72" s="11">
        <f t="shared" si="25"/>
        <v>0</v>
      </c>
      <c r="BC72" s="11">
        <f t="shared" si="25"/>
        <v>0</v>
      </c>
      <c r="BD72" s="11">
        <f t="shared" si="25"/>
        <v>-97775</v>
      </c>
      <c r="BE72" s="11">
        <f t="shared" si="25"/>
        <v>-107121</v>
      </c>
      <c r="BF72" s="11">
        <f t="shared" si="25"/>
        <v>748852</v>
      </c>
      <c r="BG72" s="11">
        <f t="shared" si="25"/>
        <v>873065</v>
      </c>
      <c r="BH72" s="11">
        <f t="shared" si="25"/>
        <v>976</v>
      </c>
      <c r="BI72" s="11">
        <f t="shared" si="25"/>
        <v>1537</v>
      </c>
      <c r="BJ72" s="11">
        <f t="shared" si="25"/>
        <v>1004089</v>
      </c>
      <c r="BK72" s="11">
        <f t="shared" si="25"/>
        <v>1743340</v>
      </c>
      <c r="BL72" s="11">
        <f t="shared" si="25"/>
        <v>31898</v>
      </c>
      <c r="BM72" s="11">
        <f t="shared" si="25"/>
        <v>112314</v>
      </c>
      <c r="BN72" s="11">
        <f t="shared" si="25"/>
        <v>314896</v>
      </c>
      <c r="BO72" s="11">
        <f t="shared" si="25"/>
        <v>365695</v>
      </c>
      <c r="BP72" s="11">
        <f t="shared" ref="BP72" si="26">BP80-BP64-BP56-BP48-BP40-BP32-BP24-BP16-BP8</f>
        <v>146945</v>
      </c>
      <c r="BQ72" s="11">
        <f t="shared" si="25"/>
        <v>162197</v>
      </c>
      <c r="BR72" s="99">
        <f t="shared" si="19"/>
        <v>6486778.1730000004</v>
      </c>
      <c r="BS72" s="99">
        <f t="shared" si="20"/>
        <v>7263965.9350000005</v>
      </c>
    </row>
    <row r="73" spans="1:71" x14ac:dyDescent="0.25">
      <c r="A73" s="32" t="s">
        <v>240</v>
      </c>
      <c r="B73" s="11">
        <f>B81-B65-B57-B49-B41-B33-B25-B17-B9</f>
        <v>0</v>
      </c>
      <c r="C73" s="11">
        <f t="shared" ref="C73:AI73" si="27">C81-C65-C57-C49-C41-C33-C25-C17-C9</f>
        <v>0</v>
      </c>
      <c r="D73" s="11">
        <f t="shared" si="27"/>
        <v>0</v>
      </c>
      <c r="E73" s="11">
        <f t="shared" si="27"/>
        <v>0</v>
      </c>
      <c r="F73" s="11">
        <f t="shared" si="27"/>
        <v>-1869645</v>
      </c>
      <c r="G73" s="11">
        <f t="shared" si="27"/>
        <v>-1890084</v>
      </c>
      <c r="H73" s="11">
        <f t="shared" si="27"/>
        <v>7935</v>
      </c>
      <c r="I73" s="11">
        <f t="shared" si="27"/>
        <v>17150</v>
      </c>
      <c r="J73" s="11">
        <f t="shared" si="27"/>
        <v>-971006</v>
      </c>
      <c r="K73" s="11">
        <f t="shared" si="27"/>
        <v>-186162</v>
      </c>
      <c r="L73" s="11">
        <f t="shared" si="27"/>
        <v>-177801</v>
      </c>
      <c r="M73" s="11">
        <f t="shared" si="27"/>
        <v>-176061</v>
      </c>
      <c r="N73" s="11">
        <f t="shared" si="27"/>
        <v>22443</v>
      </c>
      <c r="O73" s="11">
        <f t="shared" si="27"/>
        <v>48846</v>
      </c>
      <c r="P73" s="11">
        <f t="shared" si="27"/>
        <v>-1</v>
      </c>
      <c r="Q73" s="11">
        <f t="shared" si="27"/>
        <v>-1</v>
      </c>
      <c r="R73" s="11">
        <f t="shared" si="27"/>
        <v>-138</v>
      </c>
      <c r="S73" s="11">
        <f t="shared" si="27"/>
        <v>-17</v>
      </c>
      <c r="T73" s="11">
        <f t="shared" si="27"/>
        <v>0</v>
      </c>
      <c r="U73" s="11">
        <f t="shared" si="27"/>
        <v>63</v>
      </c>
      <c r="V73" s="11">
        <f t="shared" si="27"/>
        <v>-86913.59</v>
      </c>
      <c r="W73" s="11">
        <f t="shared" si="27"/>
        <v>-183840.36</v>
      </c>
      <c r="X73" s="11">
        <f t="shared" si="27"/>
        <v>-70372</v>
      </c>
      <c r="Y73" s="11">
        <f t="shared" si="27"/>
        <v>-53219</v>
      </c>
      <c r="Z73" s="11">
        <f t="shared" si="27"/>
        <v>-921</v>
      </c>
      <c r="AA73" s="11">
        <f t="shared" si="27"/>
        <v>-1244</v>
      </c>
      <c r="AB73" s="11">
        <f t="shared" si="27"/>
        <v>-818572</v>
      </c>
      <c r="AC73" s="11">
        <f t="shared" si="27"/>
        <v>-788718</v>
      </c>
      <c r="AD73" s="11">
        <f t="shared" si="27"/>
        <v>38932</v>
      </c>
      <c r="AE73" s="11">
        <f t="shared" si="27"/>
        <v>140284</v>
      </c>
      <c r="AF73" s="11">
        <f t="shared" si="27"/>
        <v>-183197</v>
      </c>
      <c r="AG73" s="11">
        <f t="shared" si="27"/>
        <v>-221092</v>
      </c>
      <c r="AH73" s="11">
        <f t="shared" si="27"/>
        <v>4469</v>
      </c>
      <c r="AI73" s="11">
        <f t="shared" si="27"/>
        <v>6791</v>
      </c>
      <c r="AJ73" s="11">
        <f t="shared" ref="AJ73:BQ73" si="28">AJ81-AJ65-AJ57-AJ49-AJ41-AJ33-AJ25-AJ17-AJ9</f>
        <v>20237</v>
      </c>
      <c r="AK73" s="11">
        <f t="shared" si="28"/>
        <v>33132</v>
      </c>
      <c r="AL73" s="11">
        <f t="shared" si="28"/>
        <v>-3044</v>
      </c>
      <c r="AM73" s="11">
        <f t="shared" si="28"/>
        <v>-4916</v>
      </c>
      <c r="AN73" s="11">
        <f t="shared" si="28"/>
        <v>0</v>
      </c>
      <c r="AO73" s="11">
        <f t="shared" si="28"/>
        <v>0</v>
      </c>
      <c r="AP73" s="11">
        <f t="shared" si="28"/>
        <v>-91630.186000000394</v>
      </c>
      <c r="AQ73" s="11">
        <f t="shared" si="28"/>
        <v>-20743.915999999444</v>
      </c>
      <c r="AR73" s="11">
        <f t="shared" si="28"/>
        <v>57780</v>
      </c>
      <c r="AS73" s="11">
        <f t="shared" si="28"/>
        <v>414051</v>
      </c>
      <c r="AT73" s="11">
        <f t="shared" si="28"/>
        <v>67128</v>
      </c>
      <c r="AU73" s="11">
        <f t="shared" si="28"/>
        <v>127311</v>
      </c>
      <c r="AV73" s="11">
        <f t="shared" si="28"/>
        <v>22295</v>
      </c>
      <c r="AW73" s="11">
        <f t="shared" si="28"/>
        <v>43958</v>
      </c>
      <c r="AX73" s="11">
        <f t="shared" si="28"/>
        <v>-422121</v>
      </c>
      <c r="AY73" s="11">
        <f t="shared" si="28"/>
        <v>-433868</v>
      </c>
      <c r="AZ73" s="11">
        <f t="shared" si="28"/>
        <v>0</v>
      </c>
      <c r="BA73" s="11">
        <f t="shared" si="28"/>
        <v>0</v>
      </c>
      <c r="BB73" s="11">
        <f t="shared" si="28"/>
        <v>0</v>
      </c>
      <c r="BC73" s="11">
        <f t="shared" si="28"/>
        <v>0</v>
      </c>
      <c r="BD73" s="11">
        <f t="shared" si="28"/>
        <v>-95037</v>
      </c>
      <c r="BE73" s="11">
        <f t="shared" si="28"/>
        <v>-96639</v>
      </c>
      <c r="BF73" s="11">
        <f t="shared" si="28"/>
        <v>-693888</v>
      </c>
      <c r="BG73" s="11">
        <f t="shared" si="28"/>
        <v>-773554</v>
      </c>
      <c r="BH73" s="11">
        <f t="shared" si="28"/>
        <v>2934</v>
      </c>
      <c r="BI73" s="11">
        <f t="shared" si="28"/>
        <v>4649</v>
      </c>
      <c r="BJ73" s="11">
        <f t="shared" si="28"/>
        <v>1103157</v>
      </c>
      <c r="BK73" s="11">
        <f t="shared" si="28"/>
        <v>1836253</v>
      </c>
      <c r="BL73" s="11">
        <f t="shared" si="28"/>
        <v>3006</v>
      </c>
      <c r="BM73" s="11">
        <f t="shared" si="28"/>
        <v>-42130</v>
      </c>
      <c r="BN73" s="11">
        <f t="shared" si="28"/>
        <v>-175577</v>
      </c>
      <c r="BO73" s="11">
        <f t="shared" si="28"/>
        <v>-119981</v>
      </c>
      <c r="BP73" s="11">
        <f t="shared" ref="BP73" si="29">BP81-BP65-BP57-BP49-BP41-BP33-BP25-BP17-BP9</f>
        <v>-126974</v>
      </c>
      <c r="BQ73" s="11">
        <f t="shared" si="28"/>
        <v>-119088</v>
      </c>
      <c r="BR73" s="99">
        <f t="shared" si="19"/>
        <v>-4436521.7760000005</v>
      </c>
      <c r="BS73" s="99">
        <f t="shared" si="20"/>
        <v>-2438870.2759999991</v>
      </c>
    </row>
    <row r="74" spans="1:71" x14ac:dyDescent="0.25">
      <c r="A74" s="30"/>
    </row>
    <row r="75" spans="1:71" x14ac:dyDescent="0.25">
      <c r="A75" s="31" t="s">
        <v>56</v>
      </c>
    </row>
    <row r="76" spans="1:71" x14ac:dyDescent="0.25">
      <c r="A76" s="4" t="s">
        <v>0</v>
      </c>
      <c r="B76" s="105" t="s">
        <v>1</v>
      </c>
      <c r="C76" s="106"/>
      <c r="D76" s="105" t="s">
        <v>2</v>
      </c>
      <c r="E76" s="106"/>
      <c r="F76" s="105" t="s">
        <v>3</v>
      </c>
      <c r="G76" s="106"/>
      <c r="H76" s="105" t="s">
        <v>4</v>
      </c>
      <c r="I76" s="106"/>
      <c r="J76" s="105" t="s">
        <v>5</v>
      </c>
      <c r="K76" s="106"/>
      <c r="L76" s="105" t="s">
        <v>6</v>
      </c>
      <c r="M76" s="106"/>
      <c r="N76" s="105" t="s">
        <v>7</v>
      </c>
      <c r="O76" s="106"/>
      <c r="P76" s="105" t="s">
        <v>8</v>
      </c>
      <c r="Q76" s="106"/>
      <c r="R76" s="105" t="s">
        <v>9</v>
      </c>
      <c r="S76" s="106"/>
      <c r="T76" s="105" t="s">
        <v>10</v>
      </c>
      <c r="U76" s="106"/>
      <c r="V76" s="105" t="s">
        <v>11</v>
      </c>
      <c r="W76" s="106"/>
      <c r="X76" s="105" t="s">
        <v>12</v>
      </c>
      <c r="Y76" s="106"/>
      <c r="Z76" s="105" t="s">
        <v>13</v>
      </c>
      <c r="AA76" s="106"/>
      <c r="AB76" s="105" t="s">
        <v>14</v>
      </c>
      <c r="AC76" s="106"/>
      <c r="AD76" s="105" t="s">
        <v>15</v>
      </c>
      <c r="AE76" s="106"/>
      <c r="AF76" s="105" t="s">
        <v>16</v>
      </c>
      <c r="AG76" s="106"/>
      <c r="AH76" s="105" t="s">
        <v>17</v>
      </c>
      <c r="AI76" s="106"/>
      <c r="AJ76" s="105" t="s">
        <v>18</v>
      </c>
      <c r="AK76" s="106"/>
      <c r="AL76" s="105" t="s">
        <v>19</v>
      </c>
      <c r="AM76" s="106"/>
      <c r="AN76" s="105" t="s">
        <v>20</v>
      </c>
      <c r="AO76" s="106"/>
      <c r="AP76" s="105" t="s">
        <v>21</v>
      </c>
      <c r="AQ76" s="106"/>
      <c r="AR76" s="105" t="s">
        <v>22</v>
      </c>
      <c r="AS76" s="106"/>
      <c r="AT76" s="105" t="s">
        <v>23</v>
      </c>
      <c r="AU76" s="106"/>
      <c r="AV76" s="105" t="s">
        <v>24</v>
      </c>
      <c r="AW76" s="106"/>
      <c r="AX76" s="105" t="s">
        <v>25</v>
      </c>
      <c r="AY76" s="106"/>
      <c r="AZ76" s="105" t="s">
        <v>26</v>
      </c>
      <c r="BA76" s="106"/>
      <c r="BB76" s="105" t="s">
        <v>27</v>
      </c>
      <c r="BC76" s="106"/>
      <c r="BD76" s="105" t="s">
        <v>28</v>
      </c>
      <c r="BE76" s="106"/>
      <c r="BF76" s="105" t="s">
        <v>29</v>
      </c>
      <c r="BG76" s="106"/>
      <c r="BH76" s="105" t="s">
        <v>30</v>
      </c>
      <c r="BI76" s="106"/>
      <c r="BJ76" s="105" t="s">
        <v>31</v>
      </c>
      <c r="BK76" s="106"/>
      <c r="BL76" s="105" t="s">
        <v>32</v>
      </c>
      <c r="BM76" s="106"/>
      <c r="BN76" s="109" t="s">
        <v>33</v>
      </c>
      <c r="BO76" s="110"/>
      <c r="BP76" s="105" t="s">
        <v>34</v>
      </c>
      <c r="BQ76" s="106"/>
      <c r="BR76" s="107" t="s">
        <v>35</v>
      </c>
      <c r="BS76" s="108"/>
    </row>
    <row r="77" spans="1:71" ht="30" x14ac:dyDescent="0.25">
      <c r="A77" s="4"/>
      <c r="B77" s="76" t="s">
        <v>295</v>
      </c>
      <c r="C77" s="77" t="s">
        <v>296</v>
      </c>
      <c r="D77" s="76" t="s">
        <v>295</v>
      </c>
      <c r="E77" s="77" t="s">
        <v>296</v>
      </c>
      <c r="F77" s="76" t="s">
        <v>295</v>
      </c>
      <c r="G77" s="77" t="s">
        <v>296</v>
      </c>
      <c r="H77" s="76" t="s">
        <v>295</v>
      </c>
      <c r="I77" s="77" t="s">
        <v>296</v>
      </c>
      <c r="J77" s="76" t="s">
        <v>295</v>
      </c>
      <c r="K77" s="77" t="s">
        <v>296</v>
      </c>
      <c r="L77" s="76" t="s">
        <v>295</v>
      </c>
      <c r="M77" s="77" t="s">
        <v>296</v>
      </c>
      <c r="N77" s="76" t="s">
        <v>295</v>
      </c>
      <c r="O77" s="77" t="s">
        <v>296</v>
      </c>
      <c r="P77" s="76" t="s">
        <v>295</v>
      </c>
      <c r="Q77" s="77" t="s">
        <v>296</v>
      </c>
      <c r="R77" s="76" t="s">
        <v>295</v>
      </c>
      <c r="S77" s="77" t="s">
        <v>296</v>
      </c>
      <c r="T77" s="76" t="s">
        <v>295</v>
      </c>
      <c r="U77" s="77" t="s">
        <v>296</v>
      </c>
      <c r="V77" s="76" t="s">
        <v>295</v>
      </c>
      <c r="W77" s="77" t="s">
        <v>296</v>
      </c>
      <c r="X77" s="76" t="s">
        <v>295</v>
      </c>
      <c r="Y77" s="77" t="s">
        <v>296</v>
      </c>
      <c r="Z77" s="76" t="s">
        <v>295</v>
      </c>
      <c r="AA77" s="77" t="s">
        <v>296</v>
      </c>
      <c r="AB77" s="76" t="s">
        <v>295</v>
      </c>
      <c r="AC77" s="77" t="s">
        <v>296</v>
      </c>
      <c r="AD77" s="76" t="s">
        <v>295</v>
      </c>
      <c r="AE77" s="77" t="s">
        <v>296</v>
      </c>
      <c r="AF77" s="76" t="s">
        <v>295</v>
      </c>
      <c r="AG77" s="77" t="s">
        <v>296</v>
      </c>
      <c r="AH77" s="76" t="s">
        <v>295</v>
      </c>
      <c r="AI77" s="77" t="s">
        <v>296</v>
      </c>
      <c r="AJ77" s="76" t="s">
        <v>295</v>
      </c>
      <c r="AK77" s="77" t="s">
        <v>296</v>
      </c>
      <c r="AL77" s="76" t="s">
        <v>295</v>
      </c>
      <c r="AM77" s="77" t="s">
        <v>296</v>
      </c>
      <c r="AN77" s="76" t="s">
        <v>295</v>
      </c>
      <c r="AO77" s="77" t="s">
        <v>296</v>
      </c>
      <c r="AP77" s="76" t="s">
        <v>295</v>
      </c>
      <c r="AQ77" s="77" t="s">
        <v>296</v>
      </c>
      <c r="AR77" s="76" t="s">
        <v>295</v>
      </c>
      <c r="AS77" s="77" t="s">
        <v>296</v>
      </c>
      <c r="AT77" s="76" t="s">
        <v>295</v>
      </c>
      <c r="AU77" s="77" t="s">
        <v>296</v>
      </c>
      <c r="AV77" s="76" t="s">
        <v>295</v>
      </c>
      <c r="AW77" s="77" t="s">
        <v>296</v>
      </c>
      <c r="AX77" s="76" t="s">
        <v>295</v>
      </c>
      <c r="AY77" s="77" t="s">
        <v>296</v>
      </c>
      <c r="AZ77" s="76" t="s">
        <v>295</v>
      </c>
      <c r="BA77" s="77" t="s">
        <v>296</v>
      </c>
      <c r="BB77" s="76" t="s">
        <v>295</v>
      </c>
      <c r="BC77" s="77" t="s">
        <v>296</v>
      </c>
      <c r="BD77" s="76" t="s">
        <v>295</v>
      </c>
      <c r="BE77" s="77" t="s">
        <v>296</v>
      </c>
      <c r="BF77" s="76" t="s">
        <v>295</v>
      </c>
      <c r="BG77" s="77" t="s">
        <v>296</v>
      </c>
      <c r="BH77" s="76" t="s">
        <v>295</v>
      </c>
      <c r="BI77" s="77" t="s">
        <v>296</v>
      </c>
      <c r="BJ77" s="76" t="s">
        <v>295</v>
      </c>
      <c r="BK77" s="77" t="s">
        <v>296</v>
      </c>
      <c r="BL77" s="76" t="s">
        <v>295</v>
      </c>
      <c r="BM77" s="77" t="s">
        <v>296</v>
      </c>
      <c r="BN77" s="76" t="s">
        <v>295</v>
      </c>
      <c r="BO77" s="77" t="s">
        <v>296</v>
      </c>
      <c r="BP77" s="76" t="s">
        <v>295</v>
      </c>
      <c r="BQ77" s="77" t="s">
        <v>296</v>
      </c>
      <c r="BR77" s="95" t="s">
        <v>295</v>
      </c>
      <c r="BS77" s="96" t="s">
        <v>296</v>
      </c>
    </row>
    <row r="78" spans="1:71" x14ac:dyDescent="0.25">
      <c r="A78" s="32" t="s">
        <v>239</v>
      </c>
      <c r="B78" s="11">
        <v>9484</v>
      </c>
      <c r="C78" s="11">
        <v>16838</v>
      </c>
      <c r="D78" s="11">
        <v>200277</v>
      </c>
      <c r="E78" s="11">
        <v>367884</v>
      </c>
      <c r="F78" s="11">
        <v>131026</v>
      </c>
      <c r="G78" s="11">
        <v>141087</v>
      </c>
      <c r="H78" s="11">
        <v>728372</v>
      </c>
      <c r="I78" s="11">
        <v>1234761</v>
      </c>
      <c r="J78" s="11">
        <v>1960465</v>
      </c>
      <c r="K78" s="11">
        <v>2039618</v>
      </c>
      <c r="L78" s="11">
        <v>500106</v>
      </c>
      <c r="M78" s="11">
        <v>1083659</v>
      </c>
      <c r="N78" s="11">
        <v>1050023</v>
      </c>
      <c r="O78" s="11">
        <v>1961094</v>
      </c>
      <c r="P78" s="11">
        <v>142418</v>
      </c>
      <c r="Q78" s="11">
        <v>302519</v>
      </c>
      <c r="R78" s="11">
        <v>38286</v>
      </c>
      <c r="S78" s="11">
        <v>70020</v>
      </c>
      <c r="T78" s="11">
        <v>24786</v>
      </c>
      <c r="U78" s="11">
        <v>30522</v>
      </c>
      <c r="V78" s="11">
        <v>16900.39</v>
      </c>
      <c r="W78" s="11">
        <v>23582.61</v>
      </c>
      <c r="X78" s="11">
        <v>406422</v>
      </c>
      <c r="Y78" s="11">
        <v>827928</v>
      </c>
      <c r="Z78" s="11">
        <v>162915</v>
      </c>
      <c r="AA78" s="11">
        <v>273760</v>
      </c>
      <c r="AB78" s="11">
        <v>1723203</v>
      </c>
      <c r="AC78" s="11">
        <v>3514491</v>
      </c>
      <c r="AD78" s="11">
        <v>2624017</v>
      </c>
      <c r="AE78" s="11">
        <v>5648578</v>
      </c>
      <c r="AF78" s="11">
        <v>1298578</v>
      </c>
      <c r="AG78" s="11">
        <v>2736693</v>
      </c>
      <c r="AH78" s="11">
        <v>97120</v>
      </c>
      <c r="AI78" s="11">
        <v>176881</v>
      </c>
      <c r="AJ78" s="103">
        <v>434617</v>
      </c>
      <c r="AK78" s="32">
        <v>819085</v>
      </c>
      <c r="AL78" s="11">
        <v>157843</v>
      </c>
      <c r="AM78" s="11">
        <v>328307</v>
      </c>
      <c r="AN78" s="11">
        <v>350747</v>
      </c>
      <c r="AO78" s="11">
        <v>646673</v>
      </c>
      <c r="AP78" s="11">
        <v>2450524.6159999995</v>
      </c>
      <c r="AQ78" s="11">
        <v>4700043.6890000002</v>
      </c>
      <c r="AR78" s="11">
        <v>5861012</v>
      </c>
      <c r="AS78" s="11">
        <v>12107738</v>
      </c>
      <c r="AT78" s="11">
        <v>2085313</v>
      </c>
      <c r="AU78" s="11">
        <v>4004978</v>
      </c>
      <c r="AV78" s="11">
        <v>23377</v>
      </c>
      <c r="AW78" s="11">
        <v>44797</v>
      </c>
      <c r="AX78" s="11">
        <v>898114</v>
      </c>
      <c r="AY78" s="11">
        <v>2209567</v>
      </c>
      <c r="AZ78" s="11">
        <v>1973</v>
      </c>
      <c r="BA78" s="11">
        <v>4342</v>
      </c>
      <c r="BB78" s="11">
        <v>609257</v>
      </c>
      <c r="BC78" s="11">
        <v>1103754</v>
      </c>
      <c r="BD78" s="11">
        <v>773556</v>
      </c>
      <c r="BE78" s="11">
        <v>1551298</v>
      </c>
      <c r="BF78" s="11">
        <v>1156340</v>
      </c>
      <c r="BG78" s="11">
        <v>2163956</v>
      </c>
      <c r="BH78" s="11">
        <v>333369</v>
      </c>
      <c r="BI78" s="11">
        <v>564839</v>
      </c>
      <c r="BJ78" s="11">
        <v>2107246</v>
      </c>
      <c r="BK78" s="11">
        <v>3579593</v>
      </c>
      <c r="BL78" s="11">
        <v>1635974</v>
      </c>
      <c r="BM78" s="11">
        <v>3376569</v>
      </c>
      <c r="BN78" s="11">
        <v>2308908</v>
      </c>
      <c r="BO78" s="11">
        <v>4228860</v>
      </c>
      <c r="BP78" s="11">
        <v>284160</v>
      </c>
      <c r="BQ78" s="11">
        <v>575765</v>
      </c>
      <c r="BR78" s="99">
        <f t="shared" ref="BR78:BR81" si="30">SUM(B78+D78+F78+H78+J78+L78+N78+P78+R78+T78+V78+X78+Z78+AB78+AD78+AF78+AH78+AJ78+AL78+AN78+AP78+AR78+AT78+AV78+AX78+AZ78+BB78+BD78+BF78+BH78+BJ78+BL78+BN78+BP78)</f>
        <v>32586729.006000001</v>
      </c>
      <c r="BS78" s="99">
        <f t="shared" ref="BS78:BS81" si="31">SUM(C78+E78+G78+I78+K78+M78+O78+Q78+S78+U78+W78+Y78+AA78+AC78+AE78+AG78+AI78+AK78+AM78+AO78+AQ78+AS78+AU78+AW78+AY78+BA78+BC78+BE78+BG78+BI78+BK78+BM78+BO78+BQ78)</f>
        <v>62460080.298999995</v>
      </c>
    </row>
    <row r="79" spans="1:71" x14ac:dyDescent="0.25">
      <c r="A79" s="32" t="s">
        <v>290</v>
      </c>
      <c r="B79" s="11"/>
      <c r="C79" s="11"/>
      <c r="D79" s="11"/>
      <c r="E79" s="11"/>
      <c r="F79" s="11">
        <v>-53</v>
      </c>
      <c r="G79" s="11">
        <v>-53</v>
      </c>
      <c r="H79" s="11"/>
      <c r="I79" s="11"/>
      <c r="J79" s="11">
        <v>16688</v>
      </c>
      <c r="K79" s="11">
        <v>13710</v>
      </c>
      <c r="L79" s="11">
        <v>2200</v>
      </c>
      <c r="M79" s="11">
        <v>9903</v>
      </c>
      <c r="N79" s="11">
        <v>785</v>
      </c>
      <c r="O79" s="11">
        <v>2039</v>
      </c>
      <c r="P79" s="11"/>
      <c r="Q79" s="11"/>
      <c r="R79" s="11">
        <v>232</v>
      </c>
      <c r="S79" s="11">
        <v>460</v>
      </c>
      <c r="T79" s="11">
        <v>2806</v>
      </c>
      <c r="U79" s="11">
        <v>4795</v>
      </c>
      <c r="V79" s="11"/>
      <c r="W79" s="11"/>
      <c r="X79" s="11">
        <v>5680</v>
      </c>
      <c r="Y79" s="11">
        <v>26649</v>
      </c>
      <c r="Z79" s="11">
        <v>46010</v>
      </c>
      <c r="AA79" s="11">
        <v>142658</v>
      </c>
      <c r="AB79" s="11">
        <v>17468</v>
      </c>
      <c r="AC79" s="11">
        <v>51595</v>
      </c>
      <c r="AD79" s="11">
        <v>86743</v>
      </c>
      <c r="AE79" s="11">
        <v>197136</v>
      </c>
      <c r="AF79" s="11">
        <v>8497</v>
      </c>
      <c r="AG79" s="11">
        <v>21602</v>
      </c>
      <c r="AH79" s="11">
        <v>201</v>
      </c>
      <c r="AI79" s="11">
        <v>522</v>
      </c>
      <c r="AJ79" s="103">
        <v>1086</v>
      </c>
      <c r="AK79" s="32">
        <v>1086</v>
      </c>
      <c r="AL79" s="11">
        <v>8778</v>
      </c>
      <c r="AM79" s="11">
        <v>27611</v>
      </c>
      <c r="AN79" s="11"/>
      <c r="AO79" s="11"/>
      <c r="AP79" s="11">
        <v>78415.061000000016</v>
      </c>
      <c r="AQ79" s="11">
        <v>149702.77799999999</v>
      </c>
      <c r="AR79" s="11">
        <v>538981</v>
      </c>
      <c r="AS79" s="11">
        <v>1189369</v>
      </c>
      <c r="AT79" s="11">
        <v>201190</v>
      </c>
      <c r="AU79" s="11">
        <v>287044</v>
      </c>
      <c r="AV79" s="11">
        <v>11677</v>
      </c>
      <c r="AW79" s="11">
        <v>21805</v>
      </c>
      <c r="AX79" s="11">
        <v>6829</v>
      </c>
      <c r="AY79" s="11">
        <v>12754</v>
      </c>
      <c r="AZ79" s="11"/>
      <c r="BA79" s="11"/>
      <c r="BB79" s="11">
        <v>185</v>
      </c>
      <c r="BC79" s="11">
        <v>1317</v>
      </c>
      <c r="BD79" s="11">
        <v>12128</v>
      </c>
      <c r="BE79" s="11">
        <v>28255</v>
      </c>
      <c r="BF79" s="11">
        <v>4526</v>
      </c>
      <c r="BG79" s="11">
        <v>5228</v>
      </c>
      <c r="BH79" s="11">
        <v>2279</v>
      </c>
      <c r="BI79" s="11">
        <v>4559</v>
      </c>
      <c r="BJ79" s="11"/>
      <c r="BK79" s="11"/>
      <c r="BL79" s="11">
        <v>44310</v>
      </c>
      <c r="BM79" s="11">
        <v>79720</v>
      </c>
      <c r="BN79" s="11">
        <v>52956</v>
      </c>
      <c r="BO79" s="11">
        <v>215604</v>
      </c>
      <c r="BP79" s="11">
        <v>1158</v>
      </c>
      <c r="BQ79" s="11">
        <v>2298</v>
      </c>
      <c r="BR79" s="99">
        <f t="shared" si="30"/>
        <v>1151755.061</v>
      </c>
      <c r="BS79" s="99">
        <f t="shared" si="31"/>
        <v>2497368.7779999999</v>
      </c>
    </row>
    <row r="80" spans="1:71" x14ac:dyDescent="0.25">
      <c r="A80" s="32" t="s">
        <v>291</v>
      </c>
      <c r="B80" s="11">
        <v>51477</v>
      </c>
      <c r="C80" s="11">
        <v>86749</v>
      </c>
      <c r="D80" s="11">
        <v>182716</v>
      </c>
      <c r="E80" s="11">
        <v>191433</v>
      </c>
      <c r="F80" s="11">
        <v>2000618</v>
      </c>
      <c r="G80" s="11">
        <v>2031118</v>
      </c>
      <c r="H80" s="11">
        <v>469038</v>
      </c>
      <c r="I80" s="11">
        <v>874171</v>
      </c>
      <c r="J80" s="11">
        <v>1901837</v>
      </c>
      <c r="K80" s="11">
        <v>830834</v>
      </c>
      <c r="L80" s="11">
        <v>354912</v>
      </c>
      <c r="M80" s="11">
        <v>630619</v>
      </c>
      <c r="N80" s="11">
        <v>710397</v>
      </c>
      <c r="O80" s="11">
        <v>1358693</v>
      </c>
      <c r="P80" s="11">
        <v>12550</v>
      </c>
      <c r="Q80" s="11">
        <v>20508</v>
      </c>
      <c r="R80" s="11">
        <v>-39716</v>
      </c>
      <c r="S80" s="11">
        <v>-72054</v>
      </c>
      <c r="T80" s="11">
        <v>-145</v>
      </c>
      <c r="U80" s="11">
        <v>52765</v>
      </c>
      <c r="V80" s="11">
        <v>103813.98</v>
      </c>
      <c r="W80" s="11">
        <v>207422.97</v>
      </c>
      <c r="X80" s="11">
        <v>202269</v>
      </c>
      <c r="Y80" s="11">
        <v>372705</v>
      </c>
      <c r="Z80" s="11">
        <v>533170</v>
      </c>
      <c r="AA80" s="11">
        <v>706047</v>
      </c>
      <c r="AB80" s="11">
        <v>-2920252</v>
      </c>
      <c r="AC80" s="11">
        <v>-4959883</v>
      </c>
      <c r="AD80" s="11">
        <v>2092255</v>
      </c>
      <c r="AE80" s="11">
        <v>4680145</v>
      </c>
      <c r="AF80" s="11">
        <v>1275861</v>
      </c>
      <c r="AG80" s="11">
        <v>1884249</v>
      </c>
      <c r="AH80" s="11">
        <v>27264</v>
      </c>
      <c r="AI80" s="11">
        <v>52362</v>
      </c>
      <c r="AJ80" s="103">
        <v>45118</v>
      </c>
      <c r="AK80" s="32">
        <v>114031</v>
      </c>
      <c r="AL80" s="11">
        <v>-346456</v>
      </c>
      <c r="AM80" s="11">
        <v>-647936</v>
      </c>
      <c r="AN80" s="11">
        <v>313988</v>
      </c>
      <c r="AO80" s="11">
        <v>666971</v>
      </c>
      <c r="AP80" s="11">
        <v>814406.72300000023</v>
      </c>
      <c r="AQ80" s="11">
        <v>1271830.3570000001</v>
      </c>
      <c r="AR80" s="11">
        <v>1129504</v>
      </c>
      <c r="AS80" s="11">
        <v>2782935</v>
      </c>
      <c r="AT80" s="11">
        <v>599253</v>
      </c>
      <c r="AU80" s="11">
        <v>1085914</v>
      </c>
      <c r="AV80" s="11">
        <v>10733</v>
      </c>
      <c r="AW80" s="11">
        <v>19820</v>
      </c>
      <c r="AX80" s="11">
        <v>2052861</v>
      </c>
      <c r="AY80" s="11">
        <v>3250784</v>
      </c>
      <c r="AZ80" s="11">
        <v>4211</v>
      </c>
      <c r="BA80" s="11">
        <v>9818</v>
      </c>
      <c r="BB80" s="11">
        <v>647258</v>
      </c>
      <c r="BC80" s="11">
        <v>1288413</v>
      </c>
      <c r="BD80" s="11">
        <v>-451551</v>
      </c>
      <c r="BE80" s="11">
        <v>-976852</v>
      </c>
      <c r="BF80" s="11">
        <v>1735674</v>
      </c>
      <c r="BG80" s="11">
        <v>3211639</v>
      </c>
      <c r="BH80" s="11">
        <v>33303</v>
      </c>
      <c r="BI80" s="11">
        <v>62259</v>
      </c>
      <c r="BJ80" s="11">
        <v>1004089</v>
      </c>
      <c r="BK80" s="11">
        <v>1743340</v>
      </c>
      <c r="BL80" s="11">
        <v>1462545</v>
      </c>
      <c r="BM80" s="11">
        <v>4147114</v>
      </c>
      <c r="BN80" s="11">
        <v>691641</v>
      </c>
      <c r="BO80" s="11">
        <v>1174610</v>
      </c>
      <c r="BP80" s="11">
        <v>197466</v>
      </c>
      <c r="BQ80" s="11">
        <v>309696</v>
      </c>
      <c r="BR80" s="99">
        <f t="shared" si="30"/>
        <v>16902108.703000002</v>
      </c>
      <c r="BS80" s="99">
        <f t="shared" si="31"/>
        <v>28462270.327</v>
      </c>
    </row>
    <row r="81" spans="1:71" x14ac:dyDescent="0.25">
      <c r="A81" s="32" t="s">
        <v>240</v>
      </c>
      <c r="B81" s="11">
        <v>-41993</v>
      </c>
      <c r="C81" s="11">
        <v>-69911</v>
      </c>
      <c r="D81" s="11">
        <v>17561</v>
      </c>
      <c r="E81" s="11">
        <v>176451</v>
      </c>
      <c r="F81" s="11">
        <v>-1869645</v>
      </c>
      <c r="G81" s="11">
        <v>-1890084</v>
      </c>
      <c r="H81" s="11">
        <v>259334</v>
      </c>
      <c r="I81" s="11">
        <v>360590</v>
      </c>
      <c r="J81" s="11">
        <v>75316</v>
      </c>
      <c r="K81" s="11">
        <v>1222494</v>
      </c>
      <c r="L81" s="11">
        <v>147394</v>
      </c>
      <c r="M81" s="11">
        <v>462943</v>
      </c>
      <c r="N81" s="11">
        <v>340411</v>
      </c>
      <c r="O81" s="11">
        <v>604440</v>
      </c>
      <c r="P81" s="11">
        <v>129868</v>
      </c>
      <c r="Q81" s="11">
        <v>282010</v>
      </c>
      <c r="R81" s="11">
        <v>-1198</v>
      </c>
      <c r="S81" s="11">
        <v>-1574</v>
      </c>
      <c r="T81" s="11">
        <v>27737</v>
      </c>
      <c r="U81" s="11">
        <v>-17448</v>
      </c>
      <c r="V81" s="11">
        <v>-86913.59</v>
      </c>
      <c r="W81" s="11">
        <v>-183840.36</v>
      </c>
      <c r="X81" s="11">
        <v>209833</v>
      </c>
      <c r="Y81" s="11">
        <v>481871</v>
      </c>
      <c r="Z81" s="11">
        <v>-324245</v>
      </c>
      <c r="AA81" s="11">
        <v>-289629</v>
      </c>
      <c r="AB81" s="11">
        <v>-1179581</v>
      </c>
      <c r="AC81" s="11">
        <v>-1393797</v>
      </c>
      <c r="AD81" s="11">
        <v>618505</v>
      </c>
      <c r="AE81" s="11">
        <v>1165569</v>
      </c>
      <c r="AF81" s="11">
        <v>31214</v>
      </c>
      <c r="AG81" s="11">
        <v>874046</v>
      </c>
      <c r="AH81" s="11">
        <v>70057</v>
      </c>
      <c r="AI81" s="11">
        <v>125041</v>
      </c>
      <c r="AJ81" s="103">
        <v>390585</v>
      </c>
      <c r="AK81" s="32">
        <v>706140</v>
      </c>
      <c r="AL81" s="11">
        <v>-179835</v>
      </c>
      <c r="AM81" s="11">
        <v>-292018</v>
      </c>
      <c r="AN81" s="11">
        <v>36759</v>
      </c>
      <c r="AO81" s="11">
        <v>-20298</v>
      </c>
      <c r="AP81" s="11">
        <v>1714532.9539999994</v>
      </c>
      <c r="AQ81" s="11">
        <v>3577916.1100000003</v>
      </c>
      <c r="AR81" s="11">
        <v>5270489</v>
      </c>
      <c r="AS81" s="11">
        <v>10514172</v>
      </c>
      <c r="AT81" s="11">
        <v>1687250</v>
      </c>
      <c r="AU81" s="11">
        <v>3206108</v>
      </c>
      <c r="AV81" s="11">
        <v>24320</v>
      </c>
      <c r="AW81" s="11">
        <v>46782</v>
      </c>
      <c r="AX81" s="11">
        <v>-1147918</v>
      </c>
      <c r="AY81" s="11">
        <v>-1028463</v>
      </c>
      <c r="AZ81" s="11">
        <v>-2238</v>
      </c>
      <c r="BA81" s="11">
        <v>-5476</v>
      </c>
      <c r="BB81" s="11">
        <v>-37816</v>
      </c>
      <c r="BC81" s="11">
        <v>-183342</v>
      </c>
      <c r="BD81" s="11">
        <v>334133</v>
      </c>
      <c r="BE81" s="11">
        <v>602701</v>
      </c>
      <c r="BF81" s="11">
        <v>-574808</v>
      </c>
      <c r="BG81" s="11">
        <v>-1042455</v>
      </c>
      <c r="BH81" s="11">
        <v>302345</v>
      </c>
      <c r="BI81" s="11">
        <v>507140</v>
      </c>
      <c r="BJ81" s="11">
        <v>1103157</v>
      </c>
      <c r="BK81" s="11">
        <v>1836253</v>
      </c>
      <c r="BL81" s="11">
        <v>217739</v>
      </c>
      <c r="BM81" s="11">
        <v>-690825</v>
      </c>
      <c r="BN81" s="11">
        <v>1670223</v>
      </c>
      <c r="BO81" s="11">
        <v>3269854</v>
      </c>
      <c r="BP81" s="11">
        <v>87852</v>
      </c>
      <c r="BQ81" s="11">
        <v>268367</v>
      </c>
      <c r="BR81" s="99">
        <f t="shared" si="30"/>
        <v>9320424.3640000001</v>
      </c>
      <c r="BS81" s="99">
        <f t="shared" si="31"/>
        <v>23181727.75</v>
      </c>
    </row>
  </sheetData>
  <mergeCells count="350">
    <mergeCell ref="BR76:BS76"/>
    <mergeCell ref="AV76:AW76"/>
    <mergeCell ref="AX76:AY76"/>
    <mergeCell ref="AZ76:BA76"/>
    <mergeCell ref="BB76:BC76"/>
    <mergeCell ref="BD76:BE76"/>
    <mergeCell ref="BF76:BG76"/>
    <mergeCell ref="AB76:AC76"/>
    <mergeCell ref="AD76:AE76"/>
    <mergeCell ref="AF76:AG76"/>
    <mergeCell ref="AH76:AI76"/>
    <mergeCell ref="BH76:BI76"/>
    <mergeCell ref="BJ76:BK76"/>
    <mergeCell ref="BL76:BM76"/>
    <mergeCell ref="BN76:BO76"/>
    <mergeCell ref="BP76:BQ76"/>
    <mergeCell ref="L76:M76"/>
    <mergeCell ref="N76:O76"/>
    <mergeCell ref="P76:Q76"/>
    <mergeCell ref="R76:S76"/>
    <mergeCell ref="T76:U76"/>
    <mergeCell ref="V76:W76"/>
    <mergeCell ref="BJ68:BK68"/>
    <mergeCell ref="BL68:BM68"/>
    <mergeCell ref="BN68:BO68"/>
    <mergeCell ref="AJ68:AK68"/>
    <mergeCell ref="N68:O68"/>
    <mergeCell ref="P68:Q68"/>
    <mergeCell ref="R68:S68"/>
    <mergeCell ref="T68:U68"/>
    <mergeCell ref="V68:W68"/>
    <mergeCell ref="X68:Y68"/>
    <mergeCell ref="AJ76:AK76"/>
    <mergeCell ref="AL76:AM76"/>
    <mergeCell ref="AN76:AO76"/>
    <mergeCell ref="AP76:AQ76"/>
    <mergeCell ref="AR76:AS76"/>
    <mergeCell ref="AT76:AU76"/>
    <mergeCell ref="X76:Y76"/>
    <mergeCell ref="Z76:AA76"/>
    <mergeCell ref="BP68:BQ68"/>
    <mergeCell ref="BR68:BS68"/>
    <mergeCell ref="B76:C76"/>
    <mergeCell ref="D76:E76"/>
    <mergeCell ref="F76:G76"/>
    <mergeCell ref="H76:I76"/>
    <mergeCell ref="J76:K76"/>
    <mergeCell ref="AX68:AY68"/>
    <mergeCell ref="AZ68:BA68"/>
    <mergeCell ref="BB68:BC68"/>
    <mergeCell ref="BD68:BE68"/>
    <mergeCell ref="BF68:BG68"/>
    <mergeCell ref="BH68:BI68"/>
    <mergeCell ref="AL68:AM68"/>
    <mergeCell ref="AN68:AO68"/>
    <mergeCell ref="AP68:AQ68"/>
    <mergeCell ref="AR68:AS68"/>
    <mergeCell ref="AT68:AU68"/>
    <mergeCell ref="AV68:AW68"/>
    <mergeCell ref="Z68:AA68"/>
    <mergeCell ref="AB68:AC68"/>
    <mergeCell ref="AD68:AE68"/>
    <mergeCell ref="AF68:AG68"/>
    <mergeCell ref="AH68:AI68"/>
    <mergeCell ref="B68:C68"/>
    <mergeCell ref="D68:E68"/>
    <mergeCell ref="F68:G68"/>
    <mergeCell ref="H68:I68"/>
    <mergeCell ref="J68:K68"/>
    <mergeCell ref="L68:M68"/>
    <mergeCell ref="BH60:BI60"/>
    <mergeCell ref="BJ60:BK60"/>
    <mergeCell ref="BL60:BM60"/>
    <mergeCell ref="AJ60:AK60"/>
    <mergeCell ref="AL60:AM60"/>
    <mergeCell ref="AN60:AO60"/>
    <mergeCell ref="AP60:AQ60"/>
    <mergeCell ref="AR60:AS60"/>
    <mergeCell ref="AT60:AU60"/>
    <mergeCell ref="X60:Y60"/>
    <mergeCell ref="Z60:AA60"/>
    <mergeCell ref="AB60:AC60"/>
    <mergeCell ref="AD60:AE60"/>
    <mergeCell ref="AF60:AG60"/>
    <mergeCell ref="AH60:AI60"/>
    <mergeCell ref="L60:M60"/>
    <mergeCell ref="N60:O60"/>
    <mergeCell ref="P60:Q60"/>
    <mergeCell ref="BN60:BO60"/>
    <mergeCell ref="BP60:BQ60"/>
    <mergeCell ref="BR60:BS60"/>
    <mergeCell ref="AV60:AW60"/>
    <mergeCell ref="AX60:AY60"/>
    <mergeCell ref="AZ60:BA60"/>
    <mergeCell ref="BB60:BC60"/>
    <mergeCell ref="BD60:BE60"/>
    <mergeCell ref="BF60:BG60"/>
    <mergeCell ref="R60:S60"/>
    <mergeCell ref="T60:U60"/>
    <mergeCell ref="V60:W60"/>
    <mergeCell ref="BJ52:BK52"/>
    <mergeCell ref="BL52:BM52"/>
    <mergeCell ref="BN52:BO52"/>
    <mergeCell ref="BP52:BQ52"/>
    <mergeCell ref="BR52:BS52"/>
    <mergeCell ref="B60:C60"/>
    <mergeCell ref="D60:E60"/>
    <mergeCell ref="F60:G60"/>
    <mergeCell ref="H60:I60"/>
    <mergeCell ref="J60:K60"/>
    <mergeCell ref="AX52:AY52"/>
    <mergeCell ref="AZ52:BA52"/>
    <mergeCell ref="BB52:BC52"/>
    <mergeCell ref="BD52:BE52"/>
    <mergeCell ref="BF52:BG52"/>
    <mergeCell ref="BH52:BI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AF52:AG52"/>
    <mergeCell ref="AH52:AI52"/>
    <mergeCell ref="AJ52:AK52"/>
    <mergeCell ref="N52:O52"/>
    <mergeCell ref="P52:Q52"/>
    <mergeCell ref="R52:S52"/>
    <mergeCell ref="T52:U52"/>
    <mergeCell ref="V52:W52"/>
    <mergeCell ref="X52:Y52"/>
    <mergeCell ref="B52:C52"/>
    <mergeCell ref="D52:E52"/>
    <mergeCell ref="F52:G52"/>
    <mergeCell ref="H52:I52"/>
    <mergeCell ref="J52:K52"/>
    <mergeCell ref="L52:M52"/>
    <mergeCell ref="BH44:BI44"/>
    <mergeCell ref="BJ44:BK44"/>
    <mergeCell ref="BL44:BM44"/>
    <mergeCell ref="AJ44:AK44"/>
    <mergeCell ref="AL44:AM44"/>
    <mergeCell ref="AN44:AO44"/>
    <mergeCell ref="AP44:AQ44"/>
    <mergeCell ref="AR44:AS44"/>
    <mergeCell ref="AT44:AU44"/>
    <mergeCell ref="X44:Y44"/>
    <mergeCell ref="Z44:AA44"/>
    <mergeCell ref="AB44:AC44"/>
    <mergeCell ref="AD44:AE44"/>
    <mergeCell ref="AF44:AG44"/>
    <mergeCell ref="AH44:AI44"/>
    <mergeCell ref="L44:M44"/>
    <mergeCell ref="N44:O44"/>
    <mergeCell ref="P44:Q44"/>
    <mergeCell ref="BN44:BO44"/>
    <mergeCell ref="BP44:BQ44"/>
    <mergeCell ref="BR44:BS44"/>
    <mergeCell ref="AV44:AW44"/>
    <mergeCell ref="AX44:AY44"/>
    <mergeCell ref="AZ44:BA44"/>
    <mergeCell ref="BB44:BC44"/>
    <mergeCell ref="BD44:BE44"/>
    <mergeCell ref="BF44:BG44"/>
    <mergeCell ref="R44:S44"/>
    <mergeCell ref="T44:U44"/>
    <mergeCell ref="V44:W44"/>
    <mergeCell ref="BJ36:BK36"/>
    <mergeCell ref="BL36:BM36"/>
    <mergeCell ref="BN36:BO36"/>
    <mergeCell ref="BP36:BQ36"/>
    <mergeCell ref="BR36:BS36"/>
    <mergeCell ref="B44:C44"/>
    <mergeCell ref="D44:E44"/>
    <mergeCell ref="F44:G44"/>
    <mergeCell ref="H44:I44"/>
    <mergeCell ref="J44:K44"/>
    <mergeCell ref="AX36:AY36"/>
    <mergeCell ref="AZ36:BA36"/>
    <mergeCell ref="BB36:BC36"/>
    <mergeCell ref="BD36:BE36"/>
    <mergeCell ref="BF36:BG36"/>
    <mergeCell ref="BH36:BI36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B36:C36"/>
    <mergeCell ref="D36:E36"/>
    <mergeCell ref="F36:G36"/>
    <mergeCell ref="H36:I36"/>
    <mergeCell ref="J36:K36"/>
    <mergeCell ref="L36:M36"/>
    <mergeCell ref="BH28:BI28"/>
    <mergeCell ref="BJ28:BK28"/>
    <mergeCell ref="BL28:BM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R28:S28"/>
    <mergeCell ref="T28:U28"/>
    <mergeCell ref="V28:W28"/>
    <mergeCell ref="BJ20:BK20"/>
    <mergeCell ref="BL20:BM20"/>
    <mergeCell ref="BN20:BO20"/>
    <mergeCell ref="BP20:BQ20"/>
    <mergeCell ref="BR20:BS20"/>
    <mergeCell ref="B28:C28"/>
    <mergeCell ref="D28:E28"/>
    <mergeCell ref="F28:G28"/>
    <mergeCell ref="H28:I28"/>
    <mergeCell ref="J28:K28"/>
    <mergeCell ref="AX20:AY20"/>
    <mergeCell ref="AZ20:BA20"/>
    <mergeCell ref="BB20:BC20"/>
    <mergeCell ref="BD20:BE20"/>
    <mergeCell ref="BF20:BG20"/>
    <mergeCell ref="BH20:BI20"/>
    <mergeCell ref="AL20:AM20"/>
    <mergeCell ref="AN20:AO20"/>
    <mergeCell ref="AP20:AQ20"/>
    <mergeCell ref="AR20:AS20"/>
    <mergeCell ref="AT20:AU20"/>
    <mergeCell ref="AV20:AW20"/>
    <mergeCell ref="Z20:AA20"/>
    <mergeCell ref="AB20:AC20"/>
    <mergeCell ref="AD20:AE20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BH12:BI12"/>
    <mergeCell ref="BJ12:BK12"/>
    <mergeCell ref="BL12:BM12"/>
    <mergeCell ref="AJ12:AK12"/>
    <mergeCell ref="AL12:AM12"/>
    <mergeCell ref="AN12:AO12"/>
    <mergeCell ref="AP12:AQ12"/>
    <mergeCell ref="AR12:AS12"/>
    <mergeCell ref="AT12:AU12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BN12:BO12"/>
    <mergeCell ref="BP12:BQ12"/>
    <mergeCell ref="BR12:BS12"/>
    <mergeCell ref="AV12:AW12"/>
    <mergeCell ref="AX12:AY12"/>
    <mergeCell ref="AZ12:BA12"/>
    <mergeCell ref="BB12:BC12"/>
    <mergeCell ref="BD12:BE12"/>
    <mergeCell ref="BF12:BG12"/>
    <mergeCell ref="R12:S12"/>
    <mergeCell ref="T12:U12"/>
    <mergeCell ref="V12:W12"/>
    <mergeCell ref="BJ4:BK4"/>
    <mergeCell ref="BL4:BM4"/>
    <mergeCell ref="BN4:BO4"/>
    <mergeCell ref="BP4:BQ4"/>
    <mergeCell ref="BR4:BS4"/>
    <mergeCell ref="B12:C12"/>
    <mergeCell ref="D12:E12"/>
    <mergeCell ref="F12:G12"/>
    <mergeCell ref="H12:I12"/>
    <mergeCell ref="J12:K12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8" customWidth="1"/>
    <col min="2" max="35" width="16" style="8" customWidth="1"/>
    <col min="36" max="36" width="16" style="9" customWidth="1"/>
    <col min="37" max="71" width="16" style="8" customWidth="1"/>
    <col min="72" max="16384" width="9.140625" style="8"/>
  </cols>
  <sheetData>
    <row r="1" spans="1:71" ht="18.75" x14ac:dyDescent="0.3">
      <c r="A1" s="6" t="s">
        <v>216</v>
      </c>
    </row>
    <row r="2" spans="1:71" x14ac:dyDescent="0.25">
      <c r="A2" s="7" t="s">
        <v>48</v>
      </c>
    </row>
    <row r="3" spans="1:71" x14ac:dyDescent="0.25">
      <c r="A3" s="1" t="s">
        <v>0</v>
      </c>
      <c r="B3" s="105" t="s">
        <v>1</v>
      </c>
      <c r="C3" s="106"/>
      <c r="D3" s="105" t="s">
        <v>2</v>
      </c>
      <c r="E3" s="106"/>
      <c r="F3" s="105" t="s">
        <v>3</v>
      </c>
      <c r="G3" s="106"/>
      <c r="H3" s="105" t="s">
        <v>4</v>
      </c>
      <c r="I3" s="106"/>
      <c r="J3" s="105" t="s">
        <v>5</v>
      </c>
      <c r="K3" s="106"/>
      <c r="L3" s="105" t="s">
        <v>6</v>
      </c>
      <c r="M3" s="106"/>
      <c r="N3" s="105" t="s">
        <v>7</v>
      </c>
      <c r="O3" s="106"/>
      <c r="P3" s="105" t="s">
        <v>8</v>
      </c>
      <c r="Q3" s="106"/>
      <c r="R3" s="105" t="s">
        <v>9</v>
      </c>
      <c r="S3" s="106"/>
      <c r="T3" s="105" t="s">
        <v>10</v>
      </c>
      <c r="U3" s="106"/>
      <c r="V3" s="105" t="s">
        <v>11</v>
      </c>
      <c r="W3" s="106"/>
      <c r="X3" s="105" t="s">
        <v>12</v>
      </c>
      <c r="Y3" s="106"/>
      <c r="Z3" s="105" t="s">
        <v>13</v>
      </c>
      <c r="AA3" s="106"/>
      <c r="AB3" s="105" t="s">
        <v>14</v>
      </c>
      <c r="AC3" s="106"/>
      <c r="AD3" s="105" t="s">
        <v>15</v>
      </c>
      <c r="AE3" s="106"/>
      <c r="AF3" s="105" t="s">
        <v>16</v>
      </c>
      <c r="AG3" s="106"/>
      <c r="AH3" s="105" t="s">
        <v>17</v>
      </c>
      <c r="AI3" s="106"/>
      <c r="AJ3" s="105" t="s">
        <v>18</v>
      </c>
      <c r="AK3" s="106"/>
      <c r="AL3" s="105" t="s">
        <v>19</v>
      </c>
      <c r="AM3" s="106"/>
      <c r="AN3" s="105" t="s">
        <v>20</v>
      </c>
      <c r="AO3" s="106"/>
      <c r="AP3" s="105" t="s">
        <v>21</v>
      </c>
      <c r="AQ3" s="106"/>
      <c r="AR3" s="105" t="s">
        <v>22</v>
      </c>
      <c r="AS3" s="106"/>
      <c r="AT3" s="105" t="s">
        <v>23</v>
      </c>
      <c r="AU3" s="106"/>
      <c r="AV3" s="105" t="s">
        <v>24</v>
      </c>
      <c r="AW3" s="106"/>
      <c r="AX3" s="105" t="s">
        <v>25</v>
      </c>
      <c r="AY3" s="106"/>
      <c r="AZ3" s="105" t="s">
        <v>26</v>
      </c>
      <c r="BA3" s="106"/>
      <c r="BB3" s="105" t="s">
        <v>27</v>
      </c>
      <c r="BC3" s="106"/>
      <c r="BD3" s="105" t="s">
        <v>28</v>
      </c>
      <c r="BE3" s="106"/>
      <c r="BF3" s="105" t="s">
        <v>29</v>
      </c>
      <c r="BG3" s="106"/>
      <c r="BH3" s="105" t="s">
        <v>30</v>
      </c>
      <c r="BI3" s="106"/>
      <c r="BJ3" s="105" t="s">
        <v>31</v>
      </c>
      <c r="BK3" s="106"/>
      <c r="BL3" s="105" t="s">
        <v>32</v>
      </c>
      <c r="BM3" s="106"/>
      <c r="BN3" s="109" t="s">
        <v>33</v>
      </c>
      <c r="BO3" s="110"/>
      <c r="BP3" s="105" t="s">
        <v>34</v>
      </c>
      <c r="BQ3" s="106"/>
      <c r="BR3" s="111" t="s">
        <v>35</v>
      </c>
      <c r="BS3" s="111"/>
    </row>
    <row r="4" spans="1:71" ht="30" x14ac:dyDescent="0.25">
      <c r="A4" s="1"/>
      <c r="B4" s="76" t="s">
        <v>295</v>
      </c>
      <c r="C4" s="77" t="s">
        <v>296</v>
      </c>
      <c r="D4" s="76" t="s">
        <v>295</v>
      </c>
      <c r="E4" s="77" t="s">
        <v>296</v>
      </c>
      <c r="F4" s="76" t="s">
        <v>295</v>
      </c>
      <c r="G4" s="77" t="s">
        <v>296</v>
      </c>
      <c r="H4" s="76" t="s">
        <v>295</v>
      </c>
      <c r="I4" s="77" t="s">
        <v>296</v>
      </c>
      <c r="J4" s="76" t="s">
        <v>295</v>
      </c>
      <c r="K4" s="77" t="s">
        <v>296</v>
      </c>
      <c r="L4" s="76" t="s">
        <v>295</v>
      </c>
      <c r="M4" s="77" t="s">
        <v>296</v>
      </c>
      <c r="N4" s="76" t="s">
        <v>295</v>
      </c>
      <c r="O4" s="77" t="s">
        <v>296</v>
      </c>
      <c r="P4" s="76" t="s">
        <v>295</v>
      </c>
      <c r="Q4" s="77" t="s">
        <v>296</v>
      </c>
      <c r="R4" s="76" t="s">
        <v>295</v>
      </c>
      <c r="S4" s="77" t="s">
        <v>296</v>
      </c>
      <c r="T4" s="76" t="s">
        <v>295</v>
      </c>
      <c r="U4" s="77" t="s">
        <v>296</v>
      </c>
      <c r="V4" s="76" t="s">
        <v>295</v>
      </c>
      <c r="W4" s="77" t="s">
        <v>296</v>
      </c>
      <c r="X4" s="76" t="s">
        <v>295</v>
      </c>
      <c r="Y4" s="77" t="s">
        <v>296</v>
      </c>
      <c r="Z4" s="76" t="s">
        <v>295</v>
      </c>
      <c r="AA4" s="77" t="s">
        <v>296</v>
      </c>
      <c r="AB4" s="76" t="s">
        <v>295</v>
      </c>
      <c r="AC4" s="77" t="s">
        <v>296</v>
      </c>
      <c r="AD4" s="76" t="s">
        <v>295</v>
      </c>
      <c r="AE4" s="77" t="s">
        <v>296</v>
      </c>
      <c r="AF4" s="76" t="s">
        <v>295</v>
      </c>
      <c r="AG4" s="77" t="s">
        <v>296</v>
      </c>
      <c r="AH4" s="76" t="s">
        <v>295</v>
      </c>
      <c r="AI4" s="77" t="s">
        <v>296</v>
      </c>
      <c r="AJ4" s="76" t="s">
        <v>295</v>
      </c>
      <c r="AK4" s="77" t="s">
        <v>296</v>
      </c>
      <c r="AL4" s="76" t="s">
        <v>295</v>
      </c>
      <c r="AM4" s="77" t="s">
        <v>296</v>
      </c>
      <c r="AN4" s="76" t="s">
        <v>295</v>
      </c>
      <c r="AO4" s="77" t="s">
        <v>296</v>
      </c>
      <c r="AP4" s="76" t="s">
        <v>295</v>
      </c>
      <c r="AQ4" s="77" t="s">
        <v>296</v>
      </c>
      <c r="AR4" s="76" t="s">
        <v>295</v>
      </c>
      <c r="AS4" s="77" t="s">
        <v>296</v>
      </c>
      <c r="AT4" s="76" t="s">
        <v>295</v>
      </c>
      <c r="AU4" s="77" t="s">
        <v>296</v>
      </c>
      <c r="AV4" s="76" t="s">
        <v>295</v>
      </c>
      <c r="AW4" s="77" t="s">
        <v>296</v>
      </c>
      <c r="AX4" s="76" t="s">
        <v>295</v>
      </c>
      <c r="AY4" s="77" t="s">
        <v>296</v>
      </c>
      <c r="AZ4" s="76" t="s">
        <v>295</v>
      </c>
      <c r="BA4" s="77" t="s">
        <v>296</v>
      </c>
      <c r="BB4" s="76" t="s">
        <v>295</v>
      </c>
      <c r="BC4" s="77" t="s">
        <v>296</v>
      </c>
      <c r="BD4" s="76" t="s">
        <v>295</v>
      </c>
      <c r="BE4" s="77" t="s">
        <v>296</v>
      </c>
      <c r="BF4" s="76" t="s">
        <v>295</v>
      </c>
      <c r="BG4" s="77" t="s">
        <v>296</v>
      </c>
      <c r="BH4" s="76" t="s">
        <v>295</v>
      </c>
      <c r="BI4" s="77" t="s">
        <v>296</v>
      </c>
      <c r="BJ4" s="76" t="s">
        <v>295</v>
      </c>
      <c r="BK4" s="77" t="s">
        <v>296</v>
      </c>
      <c r="BL4" s="76" t="s">
        <v>295</v>
      </c>
      <c r="BM4" s="77" t="s">
        <v>296</v>
      </c>
      <c r="BN4" s="76" t="s">
        <v>295</v>
      </c>
      <c r="BO4" s="77" t="s">
        <v>296</v>
      </c>
      <c r="BP4" s="76" t="s">
        <v>295</v>
      </c>
      <c r="BQ4" s="77" t="s">
        <v>296</v>
      </c>
      <c r="BR4" s="95" t="s">
        <v>295</v>
      </c>
      <c r="BS4" s="96" t="s">
        <v>296</v>
      </c>
    </row>
    <row r="5" spans="1:71" x14ac:dyDescent="0.25">
      <c r="A5" s="28" t="s">
        <v>217</v>
      </c>
      <c r="B5" s="11">
        <v>127588</v>
      </c>
      <c r="C5" s="11">
        <v>223239</v>
      </c>
      <c r="D5" s="11">
        <v>615952</v>
      </c>
      <c r="E5" s="11">
        <v>1099464</v>
      </c>
      <c r="F5" s="11">
        <v>181686</v>
      </c>
      <c r="G5" s="11">
        <v>315100</v>
      </c>
      <c r="H5" s="11">
        <v>717885</v>
      </c>
      <c r="I5" s="11">
        <v>1300655</v>
      </c>
      <c r="J5" s="11">
        <v>2540605</v>
      </c>
      <c r="K5" s="11">
        <v>4959441</v>
      </c>
      <c r="L5" s="11">
        <v>518938</v>
      </c>
      <c r="M5" s="11">
        <v>1066082</v>
      </c>
      <c r="N5" s="11">
        <v>369234</v>
      </c>
      <c r="O5" s="11">
        <v>687067</v>
      </c>
      <c r="P5" s="11">
        <v>340809</v>
      </c>
      <c r="Q5" s="11">
        <v>682041</v>
      </c>
      <c r="R5" s="11">
        <v>109657</v>
      </c>
      <c r="S5" s="11">
        <v>214146</v>
      </c>
      <c r="T5" s="11">
        <v>89650</v>
      </c>
      <c r="U5" s="11">
        <v>175041</v>
      </c>
      <c r="V5" s="11">
        <v>360936.74</v>
      </c>
      <c r="W5" s="11">
        <v>677379.12</v>
      </c>
      <c r="X5" s="11">
        <v>512627</v>
      </c>
      <c r="Y5" s="11">
        <v>1001752</v>
      </c>
      <c r="Z5" s="11">
        <v>335413</v>
      </c>
      <c r="AA5" s="11">
        <v>634930</v>
      </c>
      <c r="AB5" s="11">
        <v>952718</v>
      </c>
      <c r="AC5" s="11">
        <v>1776925</v>
      </c>
      <c r="AD5" s="11">
        <v>1646488</v>
      </c>
      <c r="AE5" s="11">
        <v>3390585</v>
      </c>
      <c r="AF5" s="11">
        <v>803156</v>
      </c>
      <c r="AG5" s="11">
        <v>1515706</v>
      </c>
      <c r="AH5" s="11">
        <v>141266</v>
      </c>
      <c r="AI5" s="11">
        <v>300340</v>
      </c>
      <c r="AJ5" s="103">
        <v>690139</v>
      </c>
      <c r="AK5" s="11">
        <v>329849</v>
      </c>
      <c r="AL5" s="11">
        <v>30727</v>
      </c>
      <c r="AM5" s="11">
        <v>70311</v>
      </c>
      <c r="AN5" s="11">
        <v>419775</v>
      </c>
      <c r="AO5" s="11">
        <v>846340</v>
      </c>
      <c r="AP5" s="11">
        <v>6750530</v>
      </c>
      <c r="AQ5" s="11">
        <v>11076916</v>
      </c>
      <c r="AR5" s="11">
        <v>6523757</v>
      </c>
      <c r="AS5" s="11">
        <v>13009235</v>
      </c>
      <c r="AT5" s="11">
        <v>5193333</v>
      </c>
      <c r="AU5" s="11">
        <v>9932889</v>
      </c>
      <c r="AV5" s="11">
        <v>51339</v>
      </c>
      <c r="AW5" s="11">
        <v>121766</v>
      </c>
      <c r="AX5" s="11">
        <v>1097491</v>
      </c>
      <c r="AY5" s="11">
        <v>2074904</v>
      </c>
      <c r="AZ5" s="11">
        <v>107942</v>
      </c>
      <c r="BA5" s="11">
        <v>206470</v>
      </c>
      <c r="BB5" s="11"/>
      <c r="BC5" s="11"/>
      <c r="BD5" s="11">
        <v>460028</v>
      </c>
      <c r="BE5" s="11">
        <v>929894</v>
      </c>
      <c r="BF5" s="11">
        <v>873842</v>
      </c>
      <c r="BG5" s="11">
        <v>1629892</v>
      </c>
      <c r="BH5" s="11">
        <v>262383</v>
      </c>
      <c r="BI5" s="11">
        <v>488777</v>
      </c>
      <c r="BJ5" s="11">
        <v>2209729</v>
      </c>
      <c r="BK5" s="11">
        <v>3987997</v>
      </c>
      <c r="BL5" s="11">
        <v>1066582</v>
      </c>
      <c r="BM5" s="11">
        <v>2229323</v>
      </c>
      <c r="BN5" s="11">
        <v>4230761</v>
      </c>
      <c r="BO5" s="11">
        <v>8459824</v>
      </c>
      <c r="BP5" s="11">
        <v>155237</v>
      </c>
      <c r="BQ5" s="11">
        <v>337902</v>
      </c>
      <c r="BR5" s="99">
        <f>SUM(B5+D5+F5+H5+J5+L5+N5+P5+R5+T5+V5+X5+Z5+AB5+AD5+AF5+AH5+AJ5+AL5+AN5+AP5+AR5+AT5+AV5+AX5+AZ5+BB5+BD5+BF5+BH5+BJ5+BL5+BN5+BP5)</f>
        <v>40488203.740000002</v>
      </c>
      <c r="BS5" s="99">
        <f>SUM(C5+E5+G5+I5+K5+M5+O5+Q5+S5+U5+W5+Y5+AA5+AC5+AE5+AG5+AI5+AK5+AM5+AO5+AQ5+AS5+AU5+AW5+AY5+BA5+BC5+BE5+BG5+BI5+BK5+BM5+BO5+BQ5)</f>
        <v>75752182.120000005</v>
      </c>
    </row>
    <row r="6" spans="1:71" x14ac:dyDescent="0.25">
      <c r="A6" s="28" t="s">
        <v>218</v>
      </c>
      <c r="B6" s="11">
        <v>5050</v>
      </c>
      <c r="C6" s="11">
        <v>10898</v>
      </c>
      <c r="D6" s="11">
        <v>37101</v>
      </c>
      <c r="E6" s="11">
        <v>65396</v>
      </c>
      <c r="F6" s="11">
        <v>10928</v>
      </c>
      <c r="G6" s="11">
        <v>16391</v>
      </c>
      <c r="H6" s="11">
        <v>35593</v>
      </c>
      <c r="I6" s="11">
        <v>61164</v>
      </c>
      <c r="J6" s="11">
        <v>103401</v>
      </c>
      <c r="K6" s="11">
        <v>218403</v>
      </c>
      <c r="L6" s="11">
        <v>31760</v>
      </c>
      <c r="M6" s="11">
        <v>66469</v>
      </c>
      <c r="N6" s="11">
        <v>35899</v>
      </c>
      <c r="O6" s="11">
        <v>68135</v>
      </c>
      <c r="P6" s="11">
        <v>13657</v>
      </c>
      <c r="Q6" s="11">
        <v>29338</v>
      </c>
      <c r="R6" s="11">
        <v>1638</v>
      </c>
      <c r="S6" s="11">
        <v>3485</v>
      </c>
      <c r="T6" s="11">
        <v>2768</v>
      </c>
      <c r="U6" s="11">
        <v>5762</v>
      </c>
      <c r="V6" s="11">
        <v>36649.97</v>
      </c>
      <c r="W6" s="11">
        <v>59151.17</v>
      </c>
      <c r="X6" s="11">
        <v>28081</v>
      </c>
      <c r="Y6" s="11">
        <v>51620</v>
      </c>
      <c r="Z6" s="11">
        <v>16984</v>
      </c>
      <c r="AA6" s="11">
        <v>40089</v>
      </c>
      <c r="AB6" s="11">
        <v>78943</v>
      </c>
      <c r="AC6" s="11">
        <v>138537</v>
      </c>
      <c r="AD6" s="11">
        <v>160439</v>
      </c>
      <c r="AE6" s="11">
        <v>306496</v>
      </c>
      <c r="AF6" s="11">
        <v>99503</v>
      </c>
      <c r="AG6" s="11">
        <v>161462</v>
      </c>
      <c r="AH6" s="11">
        <v>8173</v>
      </c>
      <c r="AI6" s="11">
        <v>16661</v>
      </c>
      <c r="AJ6" s="103">
        <v>61018</v>
      </c>
      <c r="AK6" s="11">
        <v>29682</v>
      </c>
      <c r="AL6" s="11">
        <v>1416</v>
      </c>
      <c r="AM6" s="11">
        <v>4350</v>
      </c>
      <c r="AN6" s="11">
        <v>16098</v>
      </c>
      <c r="AO6" s="11">
        <v>43922</v>
      </c>
      <c r="AP6" s="11">
        <v>120618</v>
      </c>
      <c r="AQ6" s="11">
        <v>233316</v>
      </c>
      <c r="AR6" s="11">
        <v>147628</v>
      </c>
      <c r="AS6" s="11">
        <v>267494</v>
      </c>
      <c r="AT6" s="11">
        <v>97527</v>
      </c>
      <c r="AU6" s="11">
        <v>182114</v>
      </c>
      <c r="AV6" s="11">
        <v>1991</v>
      </c>
      <c r="AW6" s="11">
        <v>2271</v>
      </c>
      <c r="AX6" s="11">
        <v>51882</v>
      </c>
      <c r="AY6" s="11">
        <v>111641</v>
      </c>
      <c r="AZ6" s="11">
        <v>2485</v>
      </c>
      <c r="BA6" s="11">
        <v>5481</v>
      </c>
      <c r="BB6" s="11"/>
      <c r="BC6" s="11"/>
      <c r="BD6" s="11">
        <v>21783</v>
      </c>
      <c r="BE6" s="11">
        <v>39927</v>
      </c>
      <c r="BF6" s="11">
        <v>110028</v>
      </c>
      <c r="BG6" s="11">
        <v>191639</v>
      </c>
      <c r="BH6" s="11">
        <v>42636</v>
      </c>
      <c r="BI6" s="11">
        <v>68840</v>
      </c>
      <c r="BJ6" s="11">
        <v>80387</v>
      </c>
      <c r="BK6" s="11">
        <v>121524</v>
      </c>
      <c r="BL6" s="11">
        <v>68142</v>
      </c>
      <c r="BM6" s="11">
        <v>130714</v>
      </c>
      <c r="BN6" s="11">
        <v>144665</v>
      </c>
      <c r="BO6" s="11">
        <v>242198</v>
      </c>
      <c r="BP6" s="11">
        <v>15592</v>
      </c>
      <c r="BQ6" s="11">
        <v>27278</v>
      </c>
      <c r="BR6" s="99">
        <f t="shared" ref="BR6:BR18" si="0">SUM(B6+D6+F6+H6+J6+L6+N6+P6+R6+T6+V6+X6+Z6+AB6+AD6+AF6+AH6+AJ6+AL6+AN6+AP6+AR6+AT6+AV6+AX6+AZ6+BB6+BD6+BF6+BH6+BJ6+BL6+BN6+BP6)</f>
        <v>1690463.97</v>
      </c>
      <c r="BS6" s="99">
        <f t="shared" ref="BS6:BS18" si="1">SUM(C6+E6+G6+I6+K6+M6+O6+Q6+S6+U6+W6+Y6+AA6+AC6+AE6+AG6+AI6+AK6+AM6+AO6+AQ6+AS6+AU6+AW6+AY6+BA6+BC6+BE6+BG6+BI6+BK6+BM6+BO6+BQ6)</f>
        <v>3021848.17</v>
      </c>
    </row>
    <row r="7" spans="1:71" x14ac:dyDescent="0.25">
      <c r="A7" s="28" t="s">
        <v>219</v>
      </c>
      <c r="B7" s="11">
        <v>113</v>
      </c>
      <c r="C7" s="11">
        <v>129</v>
      </c>
      <c r="D7" s="11">
        <v>14964</v>
      </c>
      <c r="E7" s="11">
        <v>23751</v>
      </c>
      <c r="F7" s="11">
        <v>255</v>
      </c>
      <c r="G7" s="11">
        <v>656</v>
      </c>
      <c r="H7" s="11">
        <v>3470</v>
      </c>
      <c r="I7" s="11">
        <v>4790</v>
      </c>
      <c r="J7" s="11">
        <v>4254</v>
      </c>
      <c r="K7" s="11">
        <v>7253</v>
      </c>
      <c r="L7" s="11">
        <v>6919</v>
      </c>
      <c r="M7" s="11">
        <v>18665</v>
      </c>
      <c r="N7" s="11">
        <v>6833</v>
      </c>
      <c r="O7" s="11">
        <v>16126</v>
      </c>
      <c r="P7" s="11">
        <v>15256</v>
      </c>
      <c r="Q7" s="11">
        <v>51319</v>
      </c>
      <c r="R7" s="11">
        <v>-4649</v>
      </c>
      <c r="S7" s="11">
        <v>6894</v>
      </c>
      <c r="T7" s="11">
        <v>-119</v>
      </c>
      <c r="U7" s="11">
        <v>6700</v>
      </c>
      <c r="V7" s="11">
        <v>1242.07</v>
      </c>
      <c r="W7" s="11">
        <v>1490.78</v>
      </c>
      <c r="X7" s="11">
        <v>45672</v>
      </c>
      <c r="Y7" s="11">
        <v>79026</v>
      </c>
      <c r="Z7" s="11">
        <v>19526</v>
      </c>
      <c r="AA7" s="11">
        <v>26947</v>
      </c>
      <c r="AB7" s="11">
        <v>235422</v>
      </c>
      <c r="AC7" s="11">
        <v>434322</v>
      </c>
      <c r="AD7" s="11">
        <v>26936</v>
      </c>
      <c r="AE7" s="11">
        <v>49080</v>
      </c>
      <c r="AF7" s="11">
        <v>7064</v>
      </c>
      <c r="AG7" s="11">
        <v>12135</v>
      </c>
      <c r="AH7" s="11">
        <v>3868</v>
      </c>
      <c r="AI7" s="11">
        <v>4156</v>
      </c>
      <c r="AJ7" s="103">
        <v>87627</v>
      </c>
      <c r="AK7" s="11">
        <v>36750</v>
      </c>
      <c r="AL7" s="11"/>
      <c r="AM7" s="11"/>
      <c r="AN7" s="11">
        <v>12621</v>
      </c>
      <c r="AO7" s="11">
        <v>30701</v>
      </c>
      <c r="AP7" s="11">
        <v>7320</v>
      </c>
      <c r="AQ7" s="11">
        <v>26997</v>
      </c>
      <c r="AR7" s="11">
        <v>77313</v>
      </c>
      <c r="AS7" s="11">
        <v>92768</v>
      </c>
      <c r="AT7" s="11">
        <v>15522</v>
      </c>
      <c r="AU7" s="11">
        <v>22944</v>
      </c>
      <c r="AV7" s="11"/>
      <c r="AW7" s="11"/>
      <c r="AX7" s="11"/>
      <c r="AY7" s="11"/>
      <c r="AZ7" s="11">
        <v>811</v>
      </c>
      <c r="BA7" s="11">
        <v>4005</v>
      </c>
      <c r="BB7" s="11"/>
      <c r="BC7" s="11"/>
      <c r="BD7" s="11">
        <v>6088</v>
      </c>
      <c r="BE7" s="11">
        <v>10118</v>
      </c>
      <c r="BF7" s="11">
        <v>11151</v>
      </c>
      <c r="BG7" s="11">
        <v>17007</v>
      </c>
      <c r="BH7" s="11">
        <v>2517</v>
      </c>
      <c r="BI7" s="11">
        <v>4224</v>
      </c>
      <c r="BJ7" s="11">
        <v>21793</v>
      </c>
      <c r="BK7" s="11">
        <v>37404</v>
      </c>
      <c r="BL7" s="11">
        <v>44072</v>
      </c>
      <c r="BM7" s="11">
        <v>83120</v>
      </c>
      <c r="BN7" s="11">
        <v>10784</v>
      </c>
      <c r="BO7" s="11">
        <v>26060</v>
      </c>
      <c r="BP7" s="11">
        <v>1179</v>
      </c>
      <c r="BQ7" s="11">
        <v>1468</v>
      </c>
      <c r="BR7" s="99">
        <f t="shared" si="0"/>
        <v>685824.07000000007</v>
      </c>
      <c r="BS7" s="99">
        <f t="shared" si="1"/>
        <v>1137005.78</v>
      </c>
    </row>
    <row r="8" spans="1:71" x14ac:dyDescent="0.25">
      <c r="A8" s="28" t="s">
        <v>220</v>
      </c>
      <c r="B8" s="11">
        <v>11010</v>
      </c>
      <c r="C8" s="11">
        <v>20220</v>
      </c>
      <c r="D8" s="11">
        <v>33562</v>
      </c>
      <c r="E8" s="11">
        <v>72001</v>
      </c>
      <c r="F8" s="11">
        <v>20395</v>
      </c>
      <c r="G8" s="11">
        <v>40140</v>
      </c>
      <c r="H8" s="11">
        <v>40511</v>
      </c>
      <c r="I8" s="11">
        <v>83407</v>
      </c>
      <c r="J8" s="11">
        <v>90130</v>
      </c>
      <c r="K8" s="11">
        <v>188758</v>
      </c>
      <c r="L8" s="11">
        <v>65791</v>
      </c>
      <c r="M8" s="11">
        <v>125005</v>
      </c>
      <c r="N8" s="11">
        <v>28829</v>
      </c>
      <c r="O8" s="11">
        <v>55779</v>
      </c>
      <c r="P8" s="11">
        <v>22356</v>
      </c>
      <c r="Q8" s="11">
        <v>44275</v>
      </c>
      <c r="R8" s="11">
        <v>16443</v>
      </c>
      <c r="S8" s="11">
        <v>32717</v>
      </c>
      <c r="T8" s="11">
        <v>8979</v>
      </c>
      <c r="U8" s="11">
        <v>21425</v>
      </c>
      <c r="V8" s="11">
        <v>63262.59</v>
      </c>
      <c r="W8" s="11">
        <v>137200.56</v>
      </c>
      <c r="X8" s="11">
        <v>56313</v>
      </c>
      <c r="Y8" s="11">
        <v>117254</v>
      </c>
      <c r="Z8" s="11">
        <v>13256</v>
      </c>
      <c r="AA8" s="11">
        <v>22021</v>
      </c>
      <c r="AB8" s="11">
        <v>85514</v>
      </c>
      <c r="AC8" s="11">
        <v>192653</v>
      </c>
      <c r="AD8" s="11">
        <v>298192</v>
      </c>
      <c r="AE8" s="11">
        <v>542272</v>
      </c>
      <c r="AF8" s="11">
        <v>101894</v>
      </c>
      <c r="AG8" s="11">
        <v>207419</v>
      </c>
      <c r="AH8" s="11">
        <v>20346</v>
      </c>
      <c r="AI8" s="11">
        <v>39801</v>
      </c>
      <c r="AJ8" s="103">
        <v>79164</v>
      </c>
      <c r="AK8" s="11">
        <v>40121</v>
      </c>
      <c r="AL8" s="11">
        <v>1461</v>
      </c>
      <c r="AM8" s="11">
        <v>3795</v>
      </c>
      <c r="AN8" s="11">
        <v>37936</v>
      </c>
      <c r="AO8" s="11">
        <v>70014</v>
      </c>
      <c r="AP8" s="11">
        <v>244758</v>
      </c>
      <c r="AQ8" s="11">
        <v>450039</v>
      </c>
      <c r="AR8" s="11">
        <v>370677</v>
      </c>
      <c r="AS8" s="11">
        <v>669417</v>
      </c>
      <c r="AT8" s="11">
        <v>219830</v>
      </c>
      <c r="AU8" s="11">
        <v>396796</v>
      </c>
      <c r="AV8" s="11">
        <v>8985</v>
      </c>
      <c r="AW8" s="11">
        <v>13193</v>
      </c>
      <c r="AX8" s="11">
        <v>64961</v>
      </c>
      <c r="AY8" s="11">
        <v>126464</v>
      </c>
      <c r="AZ8" s="11">
        <v>10424</v>
      </c>
      <c r="BA8" s="11">
        <v>20791</v>
      </c>
      <c r="BB8" s="11"/>
      <c r="BC8" s="11"/>
      <c r="BD8" s="11">
        <v>43442</v>
      </c>
      <c r="BE8" s="11">
        <v>85138</v>
      </c>
      <c r="BF8" s="11">
        <v>65175</v>
      </c>
      <c r="BG8" s="11">
        <v>130812</v>
      </c>
      <c r="BH8" s="11">
        <v>26187</v>
      </c>
      <c r="BI8" s="11">
        <v>51652</v>
      </c>
      <c r="BJ8" s="11">
        <v>151371</v>
      </c>
      <c r="BK8" s="11">
        <v>291904</v>
      </c>
      <c r="BL8" s="11">
        <v>481719</v>
      </c>
      <c r="BM8" s="11">
        <v>1091679</v>
      </c>
      <c r="BN8" s="11">
        <v>275586</v>
      </c>
      <c r="BO8" s="11">
        <v>385216</v>
      </c>
      <c r="BP8" s="11">
        <v>118519</v>
      </c>
      <c r="BQ8" s="11">
        <v>174678</v>
      </c>
      <c r="BR8" s="99">
        <f t="shared" si="0"/>
        <v>3176978.59</v>
      </c>
      <c r="BS8" s="99">
        <f t="shared" si="1"/>
        <v>5944056.5600000005</v>
      </c>
    </row>
    <row r="9" spans="1:71" x14ac:dyDescent="0.25">
      <c r="A9" s="28" t="s">
        <v>221</v>
      </c>
      <c r="B9" s="11">
        <v>5138</v>
      </c>
      <c r="C9" s="11">
        <v>7572</v>
      </c>
      <c r="D9" s="11">
        <v>2844</v>
      </c>
      <c r="E9" s="11">
        <v>4631</v>
      </c>
      <c r="F9" s="11">
        <v>5819</v>
      </c>
      <c r="G9" s="11">
        <v>9954</v>
      </c>
      <c r="H9" s="11">
        <v>19982</v>
      </c>
      <c r="I9" s="11">
        <v>51056</v>
      </c>
      <c r="J9" s="11">
        <v>29941</v>
      </c>
      <c r="K9" s="11">
        <v>60901</v>
      </c>
      <c r="L9" s="11">
        <v>12886</v>
      </c>
      <c r="M9" s="11">
        <v>20640</v>
      </c>
      <c r="N9" s="11">
        <v>8058</v>
      </c>
      <c r="O9" s="11">
        <v>15242</v>
      </c>
      <c r="P9" s="11">
        <v>-404</v>
      </c>
      <c r="Q9" s="11">
        <v>2415</v>
      </c>
      <c r="R9" s="11">
        <v>2211</v>
      </c>
      <c r="S9" s="11">
        <v>4363</v>
      </c>
      <c r="T9" s="11">
        <v>1558</v>
      </c>
      <c r="U9" s="11">
        <v>4565</v>
      </c>
      <c r="V9" s="11">
        <v>77519.75</v>
      </c>
      <c r="W9" s="11">
        <v>107871.61</v>
      </c>
      <c r="X9" s="11">
        <v>67239</v>
      </c>
      <c r="Y9" s="11">
        <v>127735</v>
      </c>
      <c r="Z9" s="11"/>
      <c r="AA9" s="11"/>
      <c r="AB9" s="11">
        <v>28493</v>
      </c>
      <c r="AC9" s="11">
        <v>69111</v>
      </c>
      <c r="AD9" s="11">
        <v>121484</v>
      </c>
      <c r="AE9" s="11">
        <v>246117</v>
      </c>
      <c r="AF9" s="11">
        <v>43335</v>
      </c>
      <c r="AG9" s="11">
        <v>72722</v>
      </c>
      <c r="AH9" s="11">
        <v>4223</v>
      </c>
      <c r="AI9" s="11">
        <v>8861</v>
      </c>
      <c r="AJ9" s="103">
        <v>70858</v>
      </c>
      <c r="AK9" s="11">
        <v>34940</v>
      </c>
      <c r="AL9" s="11">
        <v>280</v>
      </c>
      <c r="AM9" s="11">
        <v>1346</v>
      </c>
      <c r="AN9" s="11">
        <v>43934</v>
      </c>
      <c r="AO9" s="11">
        <v>84565</v>
      </c>
      <c r="AP9" s="11">
        <v>23206</v>
      </c>
      <c r="AQ9" s="11">
        <v>37172</v>
      </c>
      <c r="AR9" s="11">
        <v>167600</v>
      </c>
      <c r="AS9" s="11">
        <v>289447</v>
      </c>
      <c r="AT9" s="11">
        <v>63514</v>
      </c>
      <c r="AU9" s="11">
        <v>114525</v>
      </c>
      <c r="AV9" s="11">
        <v>2443</v>
      </c>
      <c r="AW9" s="11">
        <v>5641</v>
      </c>
      <c r="AX9" s="11">
        <v>104640</v>
      </c>
      <c r="AY9" s="11">
        <v>168506</v>
      </c>
      <c r="AZ9" s="11">
        <v>1681</v>
      </c>
      <c r="BA9" s="11">
        <v>3032</v>
      </c>
      <c r="BB9" s="11"/>
      <c r="BC9" s="11"/>
      <c r="BD9" s="11">
        <v>14887</v>
      </c>
      <c r="BE9" s="11">
        <v>27867</v>
      </c>
      <c r="BF9" s="11">
        <v>61908</v>
      </c>
      <c r="BG9" s="11">
        <v>123991</v>
      </c>
      <c r="BH9" s="11">
        <v>10066</v>
      </c>
      <c r="BI9" s="11">
        <v>20544</v>
      </c>
      <c r="BJ9" s="11">
        <v>56559</v>
      </c>
      <c r="BK9" s="11">
        <v>99642</v>
      </c>
      <c r="BL9" s="11">
        <v>11237</v>
      </c>
      <c r="BM9" s="11">
        <v>17739</v>
      </c>
      <c r="BN9" s="11">
        <v>76998</v>
      </c>
      <c r="BO9" s="11">
        <v>133132</v>
      </c>
      <c r="BP9" s="11">
        <v>45640</v>
      </c>
      <c r="BQ9" s="11">
        <v>84369</v>
      </c>
      <c r="BR9" s="99">
        <f t="shared" si="0"/>
        <v>1185777.75</v>
      </c>
      <c r="BS9" s="99">
        <f t="shared" si="1"/>
        <v>2060214.6099999999</v>
      </c>
    </row>
    <row r="10" spans="1:71" x14ac:dyDescent="0.25">
      <c r="A10" s="28" t="s">
        <v>222</v>
      </c>
      <c r="B10" s="11">
        <v>689</v>
      </c>
      <c r="C10" s="11">
        <v>1349</v>
      </c>
      <c r="D10" s="11">
        <v>22742</v>
      </c>
      <c r="E10" s="11">
        <v>34016</v>
      </c>
      <c r="F10" s="11">
        <v>5083</v>
      </c>
      <c r="G10" s="11">
        <v>7978</v>
      </c>
      <c r="H10" s="11">
        <v>26574</v>
      </c>
      <c r="I10" s="11">
        <v>30896</v>
      </c>
      <c r="J10" s="11">
        <v>68669</v>
      </c>
      <c r="K10" s="11">
        <v>132801</v>
      </c>
      <c r="L10" s="11">
        <v>4360</v>
      </c>
      <c r="M10" s="11">
        <v>10669</v>
      </c>
      <c r="N10" s="11">
        <v>12306</v>
      </c>
      <c r="O10" s="11">
        <v>24828</v>
      </c>
      <c r="P10" s="11">
        <v>6202</v>
      </c>
      <c r="Q10" s="11">
        <v>19885</v>
      </c>
      <c r="R10" s="11">
        <v>352</v>
      </c>
      <c r="S10" s="11">
        <v>660</v>
      </c>
      <c r="T10" s="11">
        <v>1553</v>
      </c>
      <c r="U10" s="11">
        <v>6212</v>
      </c>
      <c r="V10" s="11">
        <v>4396.28</v>
      </c>
      <c r="W10" s="11">
        <v>7658.55</v>
      </c>
      <c r="X10" s="11">
        <v>40984</v>
      </c>
      <c r="Y10" s="11">
        <v>73426</v>
      </c>
      <c r="Z10" s="11">
        <v>1555</v>
      </c>
      <c r="AA10" s="11">
        <v>3169</v>
      </c>
      <c r="AB10" s="11">
        <v>35269</v>
      </c>
      <c r="AC10" s="11">
        <v>66729</v>
      </c>
      <c r="AD10" s="11">
        <v>27410</v>
      </c>
      <c r="AE10" s="11">
        <v>52778</v>
      </c>
      <c r="AF10" s="11">
        <v>19520</v>
      </c>
      <c r="AG10" s="11">
        <v>38757</v>
      </c>
      <c r="AH10" s="11">
        <v>3268</v>
      </c>
      <c r="AI10" s="11">
        <v>4986</v>
      </c>
      <c r="AJ10" s="103">
        <v>15881</v>
      </c>
      <c r="AK10" s="11">
        <v>8253</v>
      </c>
      <c r="AL10" s="11">
        <v>173</v>
      </c>
      <c r="AM10" s="11">
        <v>721</v>
      </c>
      <c r="AN10" s="11">
        <v>7708</v>
      </c>
      <c r="AO10" s="11">
        <v>15024</v>
      </c>
      <c r="AP10" s="11">
        <v>61333</v>
      </c>
      <c r="AQ10" s="11">
        <v>104992</v>
      </c>
      <c r="AR10" s="11">
        <v>99905</v>
      </c>
      <c r="AS10" s="11">
        <v>184107</v>
      </c>
      <c r="AT10" s="11">
        <v>61414</v>
      </c>
      <c r="AU10" s="11">
        <v>92811</v>
      </c>
      <c r="AV10" s="11">
        <v>176</v>
      </c>
      <c r="AW10" s="11">
        <v>363</v>
      </c>
      <c r="AX10" s="11">
        <v>13112</v>
      </c>
      <c r="AY10" s="11">
        <v>31683</v>
      </c>
      <c r="AZ10" s="11">
        <v>189</v>
      </c>
      <c r="BA10" s="11">
        <v>406</v>
      </c>
      <c r="BB10" s="11"/>
      <c r="BC10" s="11"/>
      <c r="BD10" s="11">
        <v>13287</v>
      </c>
      <c r="BE10" s="11">
        <v>27657</v>
      </c>
      <c r="BF10" s="11">
        <v>78237</v>
      </c>
      <c r="BG10" s="11">
        <v>124702</v>
      </c>
      <c r="BH10" s="11">
        <v>8555</v>
      </c>
      <c r="BI10" s="11">
        <v>15973</v>
      </c>
      <c r="BJ10" s="11">
        <v>42379</v>
      </c>
      <c r="BK10" s="11">
        <v>67375</v>
      </c>
      <c r="BL10" s="11">
        <v>17436</v>
      </c>
      <c r="BM10" s="11">
        <v>44986</v>
      </c>
      <c r="BN10" s="11">
        <v>51843</v>
      </c>
      <c r="BO10" s="11">
        <v>86184</v>
      </c>
      <c r="BP10" s="11">
        <v>11160</v>
      </c>
      <c r="BQ10" s="11">
        <v>18674</v>
      </c>
      <c r="BR10" s="99">
        <f t="shared" si="0"/>
        <v>763720.28</v>
      </c>
      <c r="BS10" s="99">
        <f t="shared" si="1"/>
        <v>1340708.55</v>
      </c>
    </row>
    <row r="11" spans="1:71" x14ac:dyDescent="0.25">
      <c r="A11" s="28" t="s">
        <v>223</v>
      </c>
      <c r="B11" s="11">
        <v>2133</v>
      </c>
      <c r="C11" s="11">
        <v>4764</v>
      </c>
      <c r="D11" s="11">
        <v>9682</v>
      </c>
      <c r="E11" s="11">
        <v>18134</v>
      </c>
      <c r="F11" s="11">
        <v>2922</v>
      </c>
      <c r="G11" s="11">
        <v>5215</v>
      </c>
      <c r="H11" s="11">
        <v>18034</v>
      </c>
      <c r="I11" s="11">
        <v>34010</v>
      </c>
      <c r="J11" s="11">
        <v>86888</v>
      </c>
      <c r="K11" s="11">
        <v>173696</v>
      </c>
      <c r="L11" s="11">
        <v>56787</v>
      </c>
      <c r="M11" s="11">
        <v>113451</v>
      </c>
      <c r="N11" s="11">
        <v>20181</v>
      </c>
      <c r="O11" s="11">
        <v>41488</v>
      </c>
      <c r="P11" s="11">
        <v>6995</v>
      </c>
      <c r="Q11" s="11">
        <v>24470</v>
      </c>
      <c r="R11" s="11">
        <v>1844</v>
      </c>
      <c r="S11" s="11">
        <v>3500</v>
      </c>
      <c r="T11" s="11">
        <v>202</v>
      </c>
      <c r="U11" s="11">
        <v>1690</v>
      </c>
      <c r="V11" s="11">
        <v>5899.63</v>
      </c>
      <c r="W11" s="11">
        <v>9335.64</v>
      </c>
      <c r="X11" s="11">
        <v>26689</v>
      </c>
      <c r="Y11" s="11">
        <v>49565</v>
      </c>
      <c r="Z11" s="11">
        <v>3526</v>
      </c>
      <c r="AA11" s="11">
        <v>6142</v>
      </c>
      <c r="AB11" s="11">
        <v>9927</v>
      </c>
      <c r="AC11" s="11">
        <v>22137</v>
      </c>
      <c r="AD11" s="11">
        <v>71985</v>
      </c>
      <c r="AE11" s="11">
        <v>196372</v>
      </c>
      <c r="AF11" s="11">
        <v>46360</v>
      </c>
      <c r="AG11" s="11">
        <v>70194</v>
      </c>
      <c r="AH11" s="11">
        <v>2853</v>
      </c>
      <c r="AI11" s="11">
        <v>5353</v>
      </c>
      <c r="AJ11" s="103">
        <v>69722</v>
      </c>
      <c r="AK11" s="11">
        <v>36324</v>
      </c>
      <c r="AL11" s="11">
        <v>377</v>
      </c>
      <c r="AM11" s="11">
        <v>991</v>
      </c>
      <c r="AN11" s="11">
        <v>18892</v>
      </c>
      <c r="AO11" s="11">
        <v>39402</v>
      </c>
      <c r="AP11" s="11">
        <v>67077</v>
      </c>
      <c r="AQ11" s="11">
        <v>166650</v>
      </c>
      <c r="AR11" s="11">
        <v>59292</v>
      </c>
      <c r="AS11" s="11">
        <v>108438</v>
      </c>
      <c r="AT11" s="11">
        <v>44176</v>
      </c>
      <c r="AU11" s="11">
        <v>66231</v>
      </c>
      <c r="AV11" s="11">
        <v>1007</v>
      </c>
      <c r="AW11" s="11">
        <v>1932</v>
      </c>
      <c r="AX11" s="11">
        <v>38822</v>
      </c>
      <c r="AY11" s="11">
        <v>82632</v>
      </c>
      <c r="AZ11" s="11">
        <v>1056</v>
      </c>
      <c r="BA11" s="11">
        <v>2923</v>
      </c>
      <c r="BB11" s="11"/>
      <c r="BC11" s="11"/>
      <c r="BD11" s="11">
        <v>25978</v>
      </c>
      <c r="BE11" s="11">
        <v>48432</v>
      </c>
      <c r="BF11" s="11">
        <v>55212</v>
      </c>
      <c r="BG11" s="11">
        <v>105367</v>
      </c>
      <c r="BH11" s="11">
        <v>12495</v>
      </c>
      <c r="BI11" s="11">
        <v>22926</v>
      </c>
      <c r="BJ11" s="11">
        <v>64373</v>
      </c>
      <c r="BK11" s="11">
        <v>92669</v>
      </c>
      <c r="BL11" s="11">
        <v>66704</v>
      </c>
      <c r="BM11" s="11">
        <v>128779</v>
      </c>
      <c r="BN11" s="11">
        <v>79395</v>
      </c>
      <c r="BO11" s="11">
        <v>144689</v>
      </c>
      <c r="BP11" s="11">
        <v>12202</v>
      </c>
      <c r="BQ11" s="11">
        <v>23515</v>
      </c>
      <c r="BR11" s="99">
        <f t="shared" si="0"/>
        <v>989687.63</v>
      </c>
      <c r="BS11" s="99">
        <f t="shared" si="1"/>
        <v>1851416.6400000001</v>
      </c>
    </row>
    <row r="12" spans="1:71" x14ac:dyDescent="0.25">
      <c r="A12" s="28" t="s">
        <v>224</v>
      </c>
      <c r="B12" s="11">
        <v>20821</v>
      </c>
      <c r="C12" s="11">
        <v>43315</v>
      </c>
      <c r="D12" s="11">
        <v>18016</v>
      </c>
      <c r="E12" s="11">
        <v>36226</v>
      </c>
      <c r="F12" s="11">
        <v>13084</v>
      </c>
      <c r="G12" s="11">
        <v>13519</v>
      </c>
      <c r="H12" s="11">
        <v>25608</v>
      </c>
      <c r="I12" s="11">
        <v>56157</v>
      </c>
      <c r="J12" s="11">
        <v>27881</v>
      </c>
      <c r="K12" s="11">
        <v>55188</v>
      </c>
      <c r="L12" s="11">
        <v>46473</v>
      </c>
      <c r="M12" s="11">
        <v>85237</v>
      </c>
      <c r="N12" s="11">
        <v>40959</v>
      </c>
      <c r="O12" s="11">
        <v>79353</v>
      </c>
      <c r="P12" s="11">
        <v>12498</v>
      </c>
      <c r="Q12" s="11">
        <v>86164</v>
      </c>
      <c r="R12" s="11">
        <v>45948</v>
      </c>
      <c r="S12" s="11">
        <v>108424</v>
      </c>
      <c r="T12" s="11">
        <v>18128</v>
      </c>
      <c r="U12" s="11">
        <v>34679</v>
      </c>
      <c r="V12" s="11">
        <v>8308.92</v>
      </c>
      <c r="W12" s="11">
        <v>13137.48</v>
      </c>
      <c r="X12" s="11">
        <v>171867</v>
      </c>
      <c r="Y12" s="11">
        <v>295999</v>
      </c>
      <c r="Z12" s="11">
        <v>147546</v>
      </c>
      <c r="AA12" s="11">
        <v>169221</v>
      </c>
      <c r="AB12" s="11">
        <v>1124703</v>
      </c>
      <c r="AC12" s="11">
        <v>1820856</v>
      </c>
      <c r="AD12" s="11">
        <v>324289</v>
      </c>
      <c r="AE12" s="11">
        <v>646529</v>
      </c>
      <c r="AF12" s="11">
        <v>196114</v>
      </c>
      <c r="AG12" s="11">
        <v>327825</v>
      </c>
      <c r="AH12" s="11">
        <v>16615</v>
      </c>
      <c r="AI12" s="11">
        <v>31581</v>
      </c>
      <c r="AJ12" s="103">
        <v>95835</v>
      </c>
      <c r="AK12" s="11">
        <v>48651</v>
      </c>
      <c r="AL12" s="11">
        <v>1067</v>
      </c>
      <c r="AM12" s="11">
        <v>3872</v>
      </c>
      <c r="AN12" s="11">
        <v>164982</v>
      </c>
      <c r="AO12" s="11">
        <v>334915</v>
      </c>
      <c r="AP12" s="11">
        <v>46381</v>
      </c>
      <c r="AQ12" s="11">
        <v>78635</v>
      </c>
      <c r="AR12" s="11">
        <v>195966</v>
      </c>
      <c r="AS12" s="11">
        <v>353466</v>
      </c>
      <c r="AT12" s="11">
        <v>24025</v>
      </c>
      <c r="AU12" s="11">
        <v>31023</v>
      </c>
      <c r="AV12" s="11">
        <v>3325</v>
      </c>
      <c r="AW12" s="11">
        <v>5790</v>
      </c>
      <c r="AX12" s="11">
        <v>19013</v>
      </c>
      <c r="AY12" s="11">
        <v>43873</v>
      </c>
      <c r="AZ12" s="11">
        <v>3155</v>
      </c>
      <c r="BA12" s="11">
        <v>5519</v>
      </c>
      <c r="BB12" s="11"/>
      <c r="BC12" s="11"/>
      <c r="BD12" s="11">
        <v>3856</v>
      </c>
      <c r="BE12" s="11">
        <v>6106</v>
      </c>
      <c r="BF12" s="11">
        <v>168990</v>
      </c>
      <c r="BG12" s="11">
        <v>347504</v>
      </c>
      <c r="BH12" s="11">
        <v>52783</v>
      </c>
      <c r="BI12" s="11">
        <v>104165</v>
      </c>
      <c r="BJ12" s="11">
        <v>32636</v>
      </c>
      <c r="BK12" s="11">
        <v>66726</v>
      </c>
      <c r="BL12" s="11">
        <v>1083958</v>
      </c>
      <c r="BM12" s="11">
        <v>1873786</v>
      </c>
      <c r="BN12" s="11">
        <v>38426</v>
      </c>
      <c r="BO12" s="11">
        <v>66275</v>
      </c>
      <c r="BP12" s="11">
        <v>30068</v>
      </c>
      <c r="BQ12" s="11">
        <v>63211</v>
      </c>
      <c r="BR12" s="99">
        <f t="shared" si="0"/>
        <v>4223324.92</v>
      </c>
      <c r="BS12" s="99">
        <f t="shared" si="1"/>
        <v>7336927.4800000004</v>
      </c>
    </row>
    <row r="13" spans="1:71" x14ac:dyDescent="0.25">
      <c r="A13" s="28" t="s">
        <v>225</v>
      </c>
      <c r="B13" s="11">
        <v>422077</v>
      </c>
      <c r="C13" s="11">
        <v>804626</v>
      </c>
      <c r="D13" s="11">
        <v>176871</v>
      </c>
      <c r="E13" s="11">
        <v>353274</v>
      </c>
      <c r="F13" s="11">
        <v>320635</v>
      </c>
      <c r="G13" s="11">
        <v>323790</v>
      </c>
      <c r="H13" s="11">
        <v>360847</v>
      </c>
      <c r="I13" s="11">
        <v>839618</v>
      </c>
      <c r="J13" s="11">
        <v>177694</v>
      </c>
      <c r="K13" s="11">
        <v>293776</v>
      </c>
      <c r="L13" s="11">
        <v>692126</v>
      </c>
      <c r="M13" s="11">
        <v>1427238</v>
      </c>
      <c r="N13" s="11">
        <v>233222</v>
      </c>
      <c r="O13" s="11">
        <v>418019</v>
      </c>
      <c r="P13" s="11">
        <v>72858</v>
      </c>
      <c r="Q13" s="11">
        <v>215625</v>
      </c>
      <c r="R13" s="11">
        <v>99969</v>
      </c>
      <c r="S13" s="11">
        <v>174628</v>
      </c>
      <c r="T13" s="11">
        <v>24615</v>
      </c>
      <c r="U13" s="11">
        <v>49201</v>
      </c>
      <c r="V13" s="11">
        <v>21242.7</v>
      </c>
      <c r="W13" s="11">
        <v>27919.42</v>
      </c>
      <c r="X13" s="11">
        <v>209504</v>
      </c>
      <c r="Y13" s="11">
        <v>391105</v>
      </c>
      <c r="Z13" s="11">
        <v>977687</v>
      </c>
      <c r="AA13" s="11">
        <v>1971024</v>
      </c>
      <c r="AB13" s="11">
        <v>721883</v>
      </c>
      <c r="AC13" s="11">
        <v>1618594</v>
      </c>
      <c r="AD13" s="11">
        <v>552615</v>
      </c>
      <c r="AE13" s="11">
        <v>1287795</v>
      </c>
      <c r="AF13" s="11">
        <v>281859</v>
      </c>
      <c r="AG13" s="11">
        <v>513781</v>
      </c>
      <c r="AH13" s="11">
        <v>47519</v>
      </c>
      <c r="AI13" s="11">
        <v>83888</v>
      </c>
      <c r="AJ13" s="103">
        <v>555472</v>
      </c>
      <c r="AK13" s="11">
        <v>215674</v>
      </c>
      <c r="AL13" s="11">
        <v>39441</v>
      </c>
      <c r="AM13" s="11">
        <v>94225</v>
      </c>
      <c r="AN13" s="11">
        <v>151409</v>
      </c>
      <c r="AO13" s="11">
        <v>283970</v>
      </c>
      <c r="AP13" s="11">
        <v>-1288</v>
      </c>
      <c r="AQ13" s="11">
        <v>74900</v>
      </c>
      <c r="AR13" s="11">
        <v>143034</v>
      </c>
      <c r="AS13" s="11">
        <v>242016</v>
      </c>
      <c r="AT13" s="11">
        <v>150063</v>
      </c>
      <c r="AU13" s="11">
        <v>177078</v>
      </c>
      <c r="AV13" s="11">
        <v>133607</v>
      </c>
      <c r="AW13" s="11">
        <v>221412</v>
      </c>
      <c r="AX13" s="11">
        <v>1914396</v>
      </c>
      <c r="AY13" s="11">
        <v>3459083</v>
      </c>
      <c r="AZ13" s="11">
        <v>6395</v>
      </c>
      <c r="BA13" s="11">
        <v>26083</v>
      </c>
      <c r="BB13" s="11"/>
      <c r="BC13" s="11"/>
      <c r="BD13" s="11">
        <v>139378</v>
      </c>
      <c r="BE13" s="11">
        <v>186464</v>
      </c>
      <c r="BF13" s="11">
        <v>216389</v>
      </c>
      <c r="BG13" s="11">
        <v>373008</v>
      </c>
      <c r="BH13" s="11">
        <v>99887</v>
      </c>
      <c r="BI13" s="11">
        <v>100227</v>
      </c>
      <c r="BJ13" s="11">
        <v>509438</v>
      </c>
      <c r="BK13" s="11">
        <v>557897</v>
      </c>
      <c r="BL13" s="11">
        <v>1045142</v>
      </c>
      <c r="BM13" s="11">
        <v>2009878</v>
      </c>
      <c r="BN13" s="11">
        <v>43920</v>
      </c>
      <c r="BO13" s="11">
        <v>78233</v>
      </c>
      <c r="BP13" s="11">
        <v>64159</v>
      </c>
      <c r="BQ13" s="11">
        <v>77733</v>
      </c>
      <c r="BR13" s="99">
        <f t="shared" si="0"/>
        <v>10604065.699999999</v>
      </c>
      <c r="BS13" s="99">
        <f t="shared" si="1"/>
        <v>18971782.420000002</v>
      </c>
    </row>
    <row r="14" spans="1:71" x14ac:dyDescent="0.25">
      <c r="A14" s="28" t="s">
        <v>226</v>
      </c>
      <c r="B14" s="11">
        <v>6298</v>
      </c>
      <c r="C14" s="11">
        <v>10064</v>
      </c>
      <c r="D14" s="11">
        <v>2517</v>
      </c>
      <c r="E14" s="11">
        <v>4236</v>
      </c>
      <c r="F14" s="11">
        <v>11863</v>
      </c>
      <c r="G14" s="11">
        <v>11885</v>
      </c>
      <c r="H14" s="11">
        <v>14107</v>
      </c>
      <c r="I14" s="11">
        <v>32301</v>
      </c>
      <c r="J14" s="11">
        <v>60469</v>
      </c>
      <c r="K14" s="11">
        <v>116300</v>
      </c>
      <c r="L14" s="11">
        <v>46875</v>
      </c>
      <c r="M14" s="11">
        <v>54900</v>
      </c>
      <c r="N14" s="11">
        <v>16877</v>
      </c>
      <c r="O14" s="11">
        <v>32249</v>
      </c>
      <c r="P14" s="11">
        <v>5569</v>
      </c>
      <c r="Q14" s="11">
        <v>10247</v>
      </c>
      <c r="R14" s="11">
        <v>2814</v>
      </c>
      <c r="S14" s="11">
        <v>4500</v>
      </c>
      <c r="T14" s="11">
        <v>184</v>
      </c>
      <c r="U14" s="11">
        <v>426</v>
      </c>
      <c r="V14" s="11">
        <v>152.28</v>
      </c>
      <c r="W14" s="11">
        <v>279.39999999999998</v>
      </c>
      <c r="X14" s="11">
        <v>9621</v>
      </c>
      <c r="Y14" s="11">
        <v>21552</v>
      </c>
      <c r="Z14" s="11">
        <v>19247</v>
      </c>
      <c r="AA14" s="11">
        <v>33359</v>
      </c>
      <c r="AB14" s="11">
        <v>82329</v>
      </c>
      <c r="AC14" s="11">
        <v>172724</v>
      </c>
      <c r="AD14" s="11">
        <v>98757</v>
      </c>
      <c r="AE14" s="11">
        <v>194587</v>
      </c>
      <c r="AF14" s="11">
        <v>53511</v>
      </c>
      <c r="AG14" s="11">
        <v>79717</v>
      </c>
      <c r="AH14" s="11">
        <v>2399</v>
      </c>
      <c r="AI14" s="11">
        <v>4728</v>
      </c>
      <c r="AJ14" s="103">
        <v>5990</v>
      </c>
      <c r="AK14" s="11">
        <v>2105</v>
      </c>
      <c r="AL14" s="11">
        <v>1059</v>
      </c>
      <c r="AM14" s="11">
        <v>2410</v>
      </c>
      <c r="AN14" s="11">
        <v>7926</v>
      </c>
      <c r="AO14" s="11">
        <v>17347</v>
      </c>
      <c r="AP14" s="11">
        <v>50539</v>
      </c>
      <c r="AQ14" s="11">
        <v>104679</v>
      </c>
      <c r="AR14" s="11">
        <v>37466</v>
      </c>
      <c r="AS14" s="11">
        <v>57720</v>
      </c>
      <c r="AT14" s="11">
        <v>20984</v>
      </c>
      <c r="AU14" s="11">
        <v>29364</v>
      </c>
      <c r="AV14" s="11">
        <v>1215</v>
      </c>
      <c r="AW14" s="11">
        <v>1903</v>
      </c>
      <c r="AX14" s="11">
        <v>28094</v>
      </c>
      <c r="AY14" s="11">
        <v>60268</v>
      </c>
      <c r="AZ14" s="11">
        <v>432</v>
      </c>
      <c r="BA14" s="11">
        <v>837</v>
      </c>
      <c r="BB14" s="11"/>
      <c r="BC14" s="11"/>
      <c r="BD14" s="11">
        <v>12363</v>
      </c>
      <c r="BE14" s="11">
        <v>22760</v>
      </c>
      <c r="BF14" s="11">
        <v>6568</v>
      </c>
      <c r="BG14" s="11">
        <v>9523</v>
      </c>
      <c r="BH14" s="11">
        <v>21551</v>
      </c>
      <c r="BI14" s="11">
        <v>50378</v>
      </c>
      <c r="BJ14" s="11">
        <v>30427</v>
      </c>
      <c r="BK14" s="11">
        <v>54651</v>
      </c>
      <c r="BL14" s="11">
        <v>44159</v>
      </c>
      <c r="BM14" s="11">
        <v>84237</v>
      </c>
      <c r="BN14" s="11">
        <v>60539</v>
      </c>
      <c r="BO14" s="11">
        <v>115382</v>
      </c>
      <c r="BP14" s="11">
        <v>4699</v>
      </c>
      <c r="BQ14" s="11">
        <v>8747</v>
      </c>
      <c r="BR14" s="99">
        <f t="shared" si="0"/>
        <v>767600.28</v>
      </c>
      <c r="BS14" s="99">
        <f t="shared" si="1"/>
        <v>1406365.4</v>
      </c>
    </row>
    <row r="15" spans="1:71" x14ac:dyDescent="0.25">
      <c r="A15" s="29" t="s">
        <v>46</v>
      </c>
      <c r="B15" s="11">
        <f>B18-B17-B16-B14-B13-B12-B11-B10-B9-B8-B7-B6-B5</f>
        <v>220866</v>
      </c>
      <c r="C15" s="11">
        <f t="shared" ref="C15:BN15" si="2">C18-C17-C16-C14-C13-C12-C11-C10-C9-C8-C7-C6-C5</f>
        <v>301322</v>
      </c>
      <c r="D15" s="11">
        <f t="shared" si="2"/>
        <v>136095</v>
      </c>
      <c r="E15" s="11">
        <f t="shared" si="2"/>
        <v>232792</v>
      </c>
      <c r="F15" s="11">
        <f t="shared" si="2"/>
        <v>189946</v>
      </c>
      <c r="G15" s="11">
        <f t="shared" si="2"/>
        <v>319117</v>
      </c>
      <c r="H15" s="11">
        <f t="shared" si="2"/>
        <v>385736</v>
      </c>
      <c r="I15" s="11">
        <f t="shared" si="2"/>
        <v>664881</v>
      </c>
      <c r="J15" s="11">
        <f t="shared" si="2"/>
        <v>2815389</v>
      </c>
      <c r="K15" s="11">
        <f t="shared" si="2"/>
        <v>5374755</v>
      </c>
      <c r="L15" s="11">
        <f t="shared" si="2"/>
        <v>213740</v>
      </c>
      <c r="M15" s="11">
        <f t="shared" si="2"/>
        <v>410525</v>
      </c>
      <c r="N15" s="11">
        <f t="shared" si="2"/>
        <v>1670197</v>
      </c>
      <c r="O15" s="11">
        <f t="shared" si="2"/>
        <v>3529123</v>
      </c>
      <c r="P15" s="11">
        <f t="shared" si="2"/>
        <v>73516</v>
      </c>
      <c r="Q15" s="11">
        <f t="shared" si="2"/>
        <v>152534</v>
      </c>
      <c r="R15" s="11">
        <f t="shared" si="2"/>
        <v>18138</v>
      </c>
      <c r="S15" s="11">
        <f t="shared" si="2"/>
        <v>34169</v>
      </c>
      <c r="T15" s="11">
        <f t="shared" si="2"/>
        <v>18662</v>
      </c>
      <c r="U15" s="11">
        <f t="shared" si="2"/>
        <v>45789</v>
      </c>
      <c r="V15" s="11">
        <f t="shared" si="2"/>
        <v>71662.569999999949</v>
      </c>
      <c r="W15" s="11">
        <f t="shared" si="2"/>
        <v>97544.320000000298</v>
      </c>
      <c r="X15" s="11">
        <f t="shared" si="2"/>
        <v>924882</v>
      </c>
      <c r="Y15" s="11">
        <f t="shared" si="2"/>
        <v>1674203</v>
      </c>
      <c r="Z15" s="11">
        <f t="shared" si="2"/>
        <v>234545</v>
      </c>
      <c r="AA15" s="11">
        <f t="shared" si="2"/>
        <v>401083</v>
      </c>
      <c r="AB15" s="11">
        <f t="shared" si="2"/>
        <v>138300</v>
      </c>
      <c r="AC15" s="11">
        <f t="shared" si="2"/>
        <v>368483</v>
      </c>
      <c r="AD15" s="11">
        <f t="shared" si="2"/>
        <v>1973455</v>
      </c>
      <c r="AE15" s="11">
        <f t="shared" si="2"/>
        <v>3648287</v>
      </c>
      <c r="AF15" s="11">
        <f t="shared" si="2"/>
        <v>113782</v>
      </c>
      <c r="AG15" s="11">
        <f t="shared" si="2"/>
        <v>228019</v>
      </c>
      <c r="AH15" s="11">
        <f t="shared" si="2"/>
        <v>50611</v>
      </c>
      <c r="AI15" s="11">
        <f t="shared" si="2"/>
        <v>95634</v>
      </c>
      <c r="AJ15" s="11">
        <f t="shared" si="2"/>
        <v>479360</v>
      </c>
      <c r="AK15" s="11">
        <f t="shared" si="2"/>
        <v>299309</v>
      </c>
      <c r="AL15" s="11">
        <f t="shared" si="2"/>
        <v>6081</v>
      </c>
      <c r="AM15" s="11">
        <f t="shared" si="2"/>
        <v>24077</v>
      </c>
      <c r="AN15" s="11">
        <f t="shared" si="2"/>
        <v>6722</v>
      </c>
      <c r="AO15" s="11">
        <f t="shared" si="2"/>
        <v>11601</v>
      </c>
      <c r="AP15" s="11">
        <f t="shared" si="2"/>
        <v>635616</v>
      </c>
      <c r="AQ15" s="11">
        <f t="shared" si="2"/>
        <v>1535268.5</v>
      </c>
      <c r="AR15" s="11">
        <f t="shared" si="2"/>
        <v>983683</v>
      </c>
      <c r="AS15" s="11">
        <f t="shared" si="2"/>
        <v>2589248</v>
      </c>
      <c r="AT15" s="11">
        <f t="shared" si="2"/>
        <v>737335</v>
      </c>
      <c r="AU15" s="11">
        <f t="shared" si="2"/>
        <v>1062072</v>
      </c>
      <c r="AV15" s="11">
        <f t="shared" si="2"/>
        <v>2620</v>
      </c>
      <c r="AW15" s="11">
        <f t="shared" si="2"/>
        <v>5148</v>
      </c>
      <c r="AX15" s="11">
        <f t="shared" si="2"/>
        <v>449478</v>
      </c>
      <c r="AY15" s="11">
        <f t="shared" si="2"/>
        <v>710842</v>
      </c>
      <c r="AZ15" s="11">
        <f t="shared" si="2"/>
        <v>43303</v>
      </c>
      <c r="BA15" s="11">
        <f t="shared" si="2"/>
        <v>81708</v>
      </c>
      <c r="BB15" s="11">
        <f t="shared" si="2"/>
        <v>0</v>
      </c>
      <c r="BC15" s="11">
        <f t="shared" si="2"/>
        <v>0</v>
      </c>
      <c r="BD15" s="11">
        <f t="shared" si="2"/>
        <v>354885</v>
      </c>
      <c r="BE15" s="11">
        <f t="shared" si="2"/>
        <v>709639</v>
      </c>
      <c r="BF15" s="11">
        <f t="shared" si="2"/>
        <v>230864</v>
      </c>
      <c r="BG15" s="11">
        <f t="shared" si="2"/>
        <v>464347</v>
      </c>
      <c r="BH15" s="11">
        <f t="shared" si="2"/>
        <v>658019</v>
      </c>
      <c r="BI15" s="11">
        <f t="shared" si="2"/>
        <v>1120468</v>
      </c>
      <c r="BJ15" s="11">
        <f t="shared" si="2"/>
        <v>-311514</v>
      </c>
      <c r="BK15" s="11">
        <f t="shared" si="2"/>
        <v>-565345</v>
      </c>
      <c r="BL15" s="11">
        <f t="shared" si="2"/>
        <v>421641</v>
      </c>
      <c r="BM15" s="11">
        <f t="shared" si="2"/>
        <v>910553</v>
      </c>
      <c r="BN15" s="11">
        <f t="shared" si="2"/>
        <v>1381969</v>
      </c>
      <c r="BO15" s="11">
        <f t="shared" ref="BO15:BQ15" si="3">BO18-BO17-BO16-BO14-BO13-BO12-BO11-BO10-BO9-BO8-BO7-BO6-BO5</f>
        <v>1996940</v>
      </c>
      <c r="BP15" s="11">
        <f t="shared" si="3"/>
        <v>155017</v>
      </c>
      <c r="BQ15" s="11">
        <f t="shared" si="3"/>
        <v>255633</v>
      </c>
      <c r="BR15" s="99">
        <f t="shared" si="0"/>
        <v>15484601.57</v>
      </c>
      <c r="BS15" s="99">
        <f t="shared" si="1"/>
        <v>28789768.82</v>
      </c>
    </row>
    <row r="16" spans="1:71" x14ac:dyDescent="0.25">
      <c r="A16" s="28" t="s">
        <v>227</v>
      </c>
      <c r="B16" s="11">
        <v>15960</v>
      </c>
      <c r="C16" s="11">
        <v>18127</v>
      </c>
      <c r="D16" s="11">
        <v>45743</v>
      </c>
      <c r="E16" s="11">
        <v>87012</v>
      </c>
      <c r="F16" s="11">
        <v>23396</v>
      </c>
      <c r="G16" s="11">
        <v>182706</v>
      </c>
      <c r="H16" s="11">
        <v>36360</v>
      </c>
      <c r="I16" s="11">
        <v>71219</v>
      </c>
      <c r="J16" s="11">
        <v>122677</v>
      </c>
      <c r="K16" s="11">
        <v>235330</v>
      </c>
      <c r="L16" s="11">
        <v>23194</v>
      </c>
      <c r="M16" s="11">
        <v>46475</v>
      </c>
      <c r="N16" s="11">
        <v>57319</v>
      </c>
      <c r="O16" s="11">
        <v>114302</v>
      </c>
      <c r="P16" s="11">
        <v>15766</v>
      </c>
      <c r="Q16" s="11">
        <v>23641</v>
      </c>
      <c r="R16" s="11">
        <v>30476</v>
      </c>
      <c r="S16" s="11">
        <v>59721</v>
      </c>
      <c r="T16" s="11">
        <v>7362</v>
      </c>
      <c r="U16" s="11">
        <v>14178</v>
      </c>
      <c r="V16" s="11">
        <v>11559.66</v>
      </c>
      <c r="W16" s="11">
        <v>23173.47</v>
      </c>
      <c r="X16" s="11">
        <v>26619</v>
      </c>
      <c r="Y16" s="11">
        <v>51554</v>
      </c>
      <c r="Z16" s="11">
        <v>14408</v>
      </c>
      <c r="AA16" s="11">
        <v>26903</v>
      </c>
      <c r="AB16" s="11">
        <v>93644</v>
      </c>
      <c r="AC16" s="11">
        <v>179532</v>
      </c>
      <c r="AD16" s="11">
        <v>165109</v>
      </c>
      <c r="AE16" s="11">
        <v>316263</v>
      </c>
      <c r="AF16" s="11">
        <v>69822</v>
      </c>
      <c r="AG16" s="11">
        <v>119324</v>
      </c>
      <c r="AH16" s="11">
        <v>10222</v>
      </c>
      <c r="AI16" s="11">
        <v>20211</v>
      </c>
      <c r="AJ16" s="103">
        <v>84481</v>
      </c>
      <c r="AK16" s="11">
        <v>37436</v>
      </c>
      <c r="AL16" s="11">
        <v>825</v>
      </c>
      <c r="AM16" s="11">
        <v>3729</v>
      </c>
      <c r="AN16" s="11">
        <v>41086</v>
      </c>
      <c r="AO16" s="11">
        <v>84836</v>
      </c>
      <c r="AP16" s="11">
        <v>260580</v>
      </c>
      <c r="AQ16" s="11">
        <v>422752</v>
      </c>
      <c r="AR16" s="11">
        <v>259292</v>
      </c>
      <c r="AS16" s="11">
        <v>495189</v>
      </c>
      <c r="AT16" s="11">
        <v>82321</v>
      </c>
      <c r="AU16" s="11">
        <v>220275</v>
      </c>
      <c r="AV16" s="11">
        <v>3093</v>
      </c>
      <c r="AW16" s="11">
        <v>6182</v>
      </c>
      <c r="AX16" s="11"/>
      <c r="AY16" s="11"/>
      <c r="AZ16" s="11">
        <v>31209</v>
      </c>
      <c r="BA16" s="11">
        <v>62542</v>
      </c>
      <c r="BB16" s="11"/>
      <c r="BC16" s="11"/>
      <c r="BD16" s="11">
        <v>30715</v>
      </c>
      <c r="BE16" s="11">
        <v>60478</v>
      </c>
      <c r="BF16" s="11">
        <v>128904</v>
      </c>
      <c r="BG16" s="11">
        <v>236115</v>
      </c>
      <c r="BH16" s="11">
        <v>12686</v>
      </c>
      <c r="BI16" s="11">
        <v>24746</v>
      </c>
      <c r="BJ16" s="11">
        <v>76133</v>
      </c>
      <c r="BK16" s="11">
        <v>142249</v>
      </c>
      <c r="BL16" s="11">
        <v>89934</v>
      </c>
      <c r="BM16" s="11">
        <v>175327</v>
      </c>
      <c r="BN16" s="11">
        <v>121810</v>
      </c>
      <c r="BO16" s="11">
        <v>257843</v>
      </c>
      <c r="BP16" s="11">
        <v>29401</v>
      </c>
      <c r="BQ16" s="11">
        <v>57954</v>
      </c>
      <c r="BR16" s="99">
        <f t="shared" si="0"/>
        <v>2022106.66</v>
      </c>
      <c r="BS16" s="99">
        <f t="shared" si="1"/>
        <v>3877324.4699999997</v>
      </c>
    </row>
    <row r="17" spans="1:71" x14ac:dyDescent="0.25">
      <c r="A17" s="28" t="s">
        <v>228</v>
      </c>
      <c r="B17" s="11">
        <v>6860</v>
      </c>
      <c r="C17" s="11">
        <v>6860</v>
      </c>
      <c r="D17" s="11"/>
      <c r="E17" s="11"/>
      <c r="F17" s="11">
        <v>221675</v>
      </c>
      <c r="G17" s="11">
        <v>233678</v>
      </c>
      <c r="H17" s="11">
        <v>2518</v>
      </c>
      <c r="I17" s="11">
        <v>4734</v>
      </c>
      <c r="J17" s="11">
        <v>35770</v>
      </c>
      <c r="K17" s="11">
        <v>55621</v>
      </c>
      <c r="L17" s="11"/>
      <c r="M17" s="11"/>
      <c r="N17" s="11"/>
      <c r="O17" s="11"/>
      <c r="P17" s="11"/>
      <c r="Q17" s="11"/>
      <c r="R17" s="11"/>
      <c r="S17" s="11"/>
      <c r="T17" s="11">
        <v>1091</v>
      </c>
      <c r="U17" s="11">
        <v>1479</v>
      </c>
      <c r="V17" s="11"/>
      <c r="W17" s="11"/>
      <c r="X17" s="11">
        <v>5860</v>
      </c>
      <c r="Y17" s="11">
        <v>15868</v>
      </c>
      <c r="Z17" s="11">
        <v>702</v>
      </c>
      <c r="AA17" s="11">
        <v>1649</v>
      </c>
      <c r="AB17" s="11"/>
      <c r="AC17" s="11"/>
      <c r="AD17" s="11"/>
      <c r="AE17" s="11"/>
      <c r="AF17" s="11">
        <v>12466</v>
      </c>
      <c r="AG17" s="11">
        <v>23358</v>
      </c>
      <c r="AH17" s="11"/>
      <c r="AI17" s="11"/>
      <c r="AJ17" s="12"/>
      <c r="AK17" s="11"/>
      <c r="AL17" s="11"/>
      <c r="AM17" s="11"/>
      <c r="AN17" s="11">
        <v>1924</v>
      </c>
      <c r="AO17" s="11">
        <v>2197</v>
      </c>
      <c r="AP17" s="11">
        <v>136087</v>
      </c>
      <c r="AQ17" s="11">
        <v>138466</v>
      </c>
      <c r="AR17" s="11">
        <v>70921</v>
      </c>
      <c r="AS17" s="11">
        <v>419206</v>
      </c>
      <c r="AT17" s="11"/>
      <c r="AU17" s="11"/>
      <c r="AV17" s="11"/>
      <c r="AW17" s="11"/>
      <c r="AX17" s="11">
        <v>22909</v>
      </c>
      <c r="AY17" s="11">
        <v>40552</v>
      </c>
      <c r="AZ17" s="11"/>
      <c r="BA17" s="11"/>
      <c r="BB17" s="11"/>
      <c r="BC17" s="11"/>
      <c r="BD17" s="11">
        <v>832</v>
      </c>
      <c r="BE17" s="11">
        <v>2514</v>
      </c>
      <c r="BF17" s="11">
        <v>3713</v>
      </c>
      <c r="BG17" s="11">
        <v>45634</v>
      </c>
      <c r="BH17" s="11"/>
      <c r="BI17" s="11"/>
      <c r="BJ17" s="11"/>
      <c r="BK17" s="11"/>
      <c r="BL17" s="11">
        <v>15679</v>
      </c>
      <c r="BM17" s="11">
        <v>48702</v>
      </c>
      <c r="BN17" s="11"/>
      <c r="BO17" s="11"/>
      <c r="BP17" s="11"/>
      <c r="BQ17" s="11"/>
      <c r="BR17" s="99">
        <f t="shared" si="0"/>
        <v>539007</v>
      </c>
      <c r="BS17" s="99">
        <f t="shared" si="1"/>
        <v>1040518</v>
      </c>
    </row>
    <row r="18" spans="1:71" s="9" customFormat="1" x14ac:dyDescent="0.25">
      <c r="A18" s="4" t="s">
        <v>56</v>
      </c>
      <c r="B18" s="12">
        <v>844603</v>
      </c>
      <c r="C18" s="12">
        <v>1452485</v>
      </c>
      <c r="D18" s="12">
        <v>1116089</v>
      </c>
      <c r="E18" s="12">
        <v>2030933</v>
      </c>
      <c r="F18" s="12">
        <v>1007687</v>
      </c>
      <c r="G18" s="12">
        <v>1480129</v>
      </c>
      <c r="H18" s="12">
        <v>1687225</v>
      </c>
      <c r="I18" s="12">
        <v>3234888</v>
      </c>
      <c r="J18" s="12">
        <v>6163768</v>
      </c>
      <c r="K18" s="12">
        <v>11872223</v>
      </c>
      <c r="L18" s="12">
        <v>1719849</v>
      </c>
      <c r="M18" s="12">
        <v>3445356</v>
      </c>
      <c r="N18" s="12">
        <v>2499914</v>
      </c>
      <c r="O18" s="12">
        <v>5081711</v>
      </c>
      <c r="P18" s="12">
        <v>585078</v>
      </c>
      <c r="Q18" s="12">
        <v>1341954</v>
      </c>
      <c r="R18" s="12">
        <v>324841</v>
      </c>
      <c r="S18" s="12">
        <v>647207</v>
      </c>
      <c r="T18" s="12">
        <v>174633</v>
      </c>
      <c r="U18" s="12">
        <v>367147</v>
      </c>
      <c r="V18" s="12">
        <v>662833.16</v>
      </c>
      <c r="W18" s="12">
        <v>1162141.52</v>
      </c>
      <c r="X18" s="12">
        <v>2125958</v>
      </c>
      <c r="Y18" s="12">
        <v>3950659</v>
      </c>
      <c r="Z18" s="12">
        <v>1784395</v>
      </c>
      <c r="AA18" s="12">
        <v>3336537</v>
      </c>
      <c r="AB18" s="12">
        <v>3587145</v>
      </c>
      <c r="AC18" s="12">
        <v>6860603</v>
      </c>
      <c r="AD18" s="12">
        <v>5467159</v>
      </c>
      <c r="AE18" s="12">
        <v>10877161</v>
      </c>
      <c r="AF18" s="12">
        <v>1848386</v>
      </c>
      <c r="AG18" s="12">
        <v>3370419</v>
      </c>
      <c r="AH18" s="12">
        <v>311363</v>
      </c>
      <c r="AI18" s="12">
        <v>616200</v>
      </c>
      <c r="AJ18" s="12">
        <v>2295547</v>
      </c>
      <c r="AK18" s="12">
        <v>1119094</v>
      </c>
      <c r="AL18" s="12">
        <v>82907</v>
      </c>
      <c r="AM18" s="12">
        <v>209827</v>
      </c>
      <c r="AN18" s="12">
        <v>931013</v>
      </c>
      <c r="AO18" s="12">
        <v>1864834</v>
      </c>
      <c r="AP18" s="12">
        <v>8402757</v>
      </c>
      <c r="AQ18" s="12">
        <v>14450782.5</v>
      </c>
      <c r="AR18" s="12">
        <v>9136534</v>
      </c>
      <c r="AS18" s="12">
        <v>18777751</v>
      </c>
      <c r="AT18" s="12">
        <v>6710044</v>
      </c>
      <c r="AU18" s="12">
        <v>12328122</v>
      </c>
      <c r="AV18" s="12">
        <v>209801</v>
      </c>
      <c r="AW18" s="12">
        <v>385601</v>
      </c>
      <c r="AX18" s="12">
        <v>3804798</v>
      </c>
      <c r="AY18" s="12">
        <v>6910448</v>
      </c>
      <c r="AZ18" s="12">
        <v>209082</v>
      </c>
      <c r="BA18" s="12">
        <v>419797</v>
      </c>
      <c r="BB18" s="12"/>
      <c r="BC18" s="12"/>
      <c r="BD18" s="12">
        <v>1127522</v>
      </c>
      <c r="BE18" s="12">
        <v>2156994</v>
      </c>
      <c r="BF18" s="12">
        <v>2010981</v>
      </c>
      <c r="BG18" s="12">
        <v>3799541</v>
      </c>
      <c r="BH18" s="12">
        <v>1209765</v>
      </c>
      <c r="BI18" s="12">
        <v>2072920</v>
      </c>
      <c r="BJ18" s="12">
        <v>2963711</v>
      </c>
      <c r="BK18" s="12">
        <v>4954693</v>
      </c>
      <c r="BL18" s="12">
        <v>4456405</v>
      </c>
      <c r="BM18" s="12">
        <v>8828823</v>
      </c>
      <c r="BN18" s="12">
        <v>6516696</v>
      </c>
      <c r="BO18" s="12">
        <v>11991976</v>
      </c>
      <c r="BP18" s="12">
        <v>642873</v>
      </c>
      <c r="BQ18" s="12">
        <v>1131162</v>
      </c>
      <c r="BR18" s="91">
        <f t="shared" si="0"/>
        <v>82621362.159999996</v>
      </c>
      <c r="BS18" s="91">
        <f t="shared" si="1"/>
        <v>152530119.01999998</v>
      </c>
    </row>
  </sheetData>
  <mergeCells count="35">
    <mergeCell ref="BJ3:BK3"/>
    <mergeCell ref="BL3:BM3"/>
    <mergeCell ref="BN3:BO3"/>
    <mergeCell ref="BP3:BQ3"/>
    <mergeCell ref="BR3:BS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5" width="16" style="8" customWidth="1"/>
    <col min="36" max="36" width="16" style="9" customWidth="1"/>
    <col min="37" max="16384" width="9.140625" style="8"/>
  </cols>
  <sheetData>
    <row r="1" spans="1:36" ht="18.75" x14ac:dyDescent="0.3">
      <c r="A1" s="10" t="s">
        <v>299</v>
      </c>
    </row>
    <row r="2" spans="1:36" x14ac:dyDescent="0.25">
      <c r="A2" s="8" t="s">
        <v>48</v>
      </c>
    </row>
    <row r="3" spans="1:36" x14ac:dyDescent="0.25">
      <c r="A3" s="1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8</v>
      </c>
      <c r="J3" s="74" t="s">
        <v>9</v>
      </c>
      <c r="K3" s="74" t="s">
        <v>10</v>
      </c>
      <c r="L3" s="74" t="s">
        <v>11</v>
      </c>
      <c r="M3" s="74" t="s">
        <v>12</v>
      </c>
      <c r="N3" s="74" t="s">
        <v>13</v>
      </c>
      <c r="O3" s="74" t="s">
        <v>14</v>
      </c>
      <c r="P3" s="74" t="s">
        <v>15</v>
      </c>
      <c r="Q3" s="74" t="s">
        <v>16</v>
      </c>
      <c r="R3" s="74" t="s">
        <v>17</v>
      </c>
      <c r="S3" s="74" t="s">
        <v>18</v>
      </c>
      <c r="T3" s="74" t="s">
        <v>19</v>
      </c>
      <c r="U3" s="74" t="s">
        <v>20</v>
      </c>
      <c r="V3" s="74" t="s">
        <v>21</v>
      </c>
      <c r="W3" s="74" t="s">
        <v>22</v>
      </c>
      <c r="X3" s="74" t="s">
        <v>23</v>
      </c>
      <c r="Y3" s="74" t="s">
        <v>24</v>
      </c>
      <c r="Z3" s="74" t="s">
        <v>25</v>
      </c>
      <c r="AA3" s="74" t="s">
        <v>26</v>
      </c>
      <c r="AB3" s="74" t="s">
        <v>27</v>
      </c>
      <c r="AC3" s="74" t="s">
        <v>28</v>
      </c>
      <c r="AD3" s="74" t="s">
        <v>29</v>
      </c>
      <c r="AE3" s="74" t="s">
        <v>30</v>
      </c>
      <c r="AF3" s="74" t="s">
        <v>31</v>
      </c>
      <c r="AG3" s="74" t="s">
        <v>32</v>
      </c>
      <c r="AH3" s="71" t="s">
        <v>33</v>
      </c>
      <c r="AI3" s="74" t="s">
        <v>34</v>
      </c>
      <c r="AJ3" s="94" t="s">
        <v>35</v>
      </c>
    </row>
    <row r="4" spans="1:36" x14ac:dyDescent="0.25">
      <c r="A4" s="11" t="s">
        <v>49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>
        <v>575</v>
      </c>
      <c r="X4" s="11">
        <v>2565</v>
      </c>
      <c r="Y4" s="11"/>
      <c r="Z4" s="11"/>
      <c r="AA4" s="11"/>
      <c r="AB4" s="11"/>
      <c r="AC4" s="11"/>
      <c r="AD4" s="11"/>
      <c r="AE4" s="11"/>
      <c r="AF4" s="11"/>
      <c r="AG4" s="11"/>
      <c r="AH4" s="11">
        <v>13589</v>
      </c>
      <c r="AI4" s="11"/>
      <c r="AJ4" s="92">
        <f>SUM(B4:AI4)</f>
        <v>16729</v>
      </c>
    </row>
    <row r="5" spans="1:36" x14ac:dyDescent="0.25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92">
        <f t="shared" ref="AJ5:AJ11" si="0">SUM(B5:AI5)</f>
        <v>0</v>
      </c>
    </row>
    <row r="6" spans="1:36" x14ac:dyDescent="0.25">
      <c r="A6" s="11" t="s">
        <v>51</v>
      </c>
      <c r="B6" s="11"/>
      <c r="C6" s="11">
        <v>6706564</v>
      </c>
      <c r="D6" s="11"/>
      <c r="E6" s="11">
        <f>2597967+2728728</f>
        <v>5326695</v>
      </c>
      <c r="F6" s="11">
        <v>1666197</v>
      </c>
      <c r="G6" s="11">
        <v>1720185</v>
      </c>
      <c r="H6" s="11">
        <v>1432645</v>
      </c>
      <c r="I6" s="11">
        <v>3272020</v>
      </c>
      <c r="J6" s="11"/>
      <c r="K6" s="11"/>
      <c r="L6" s="11"/>
      <c r="M6" s="11"/>
      <c r="N6" s="11">
        <v>2604348</v>
      </c>
      <c r="O6" s="11">
        <v>8440482</v>
      </c>
      <c r="P6" s="11">
        <v>15719127</v>
      </c>
      <c r="Q6" s="11">
        <v>4519821</v>
      </c>
      <c r="R6" s="11"/>
      <c r="S6" s="11">
        <v>6483749</v>
      </c>
      <c r="T6" s="11">
        <v>2381367</v>
      </c>
      <c r="U6" s="11"/>
      <c r="V6" s="11"/>
      <c r="W6" s="11">
        <v>18908542</v>
      </c>
      <c r="X6" s="11"/>
      <c r="Y6" s="11"/>
      <c r="Z6" s="11">
        <v>7667050</v>
      </c>
      <c r="AA6" s="11"/>
      <c r="AB6" s="11">
        <v>191306</v>
      </c>
      <c r="AC6" s="11">
        <v>2550000</v>
      </c>
      <c r="AD6" s="11">
        <v>13326000</v>
      </c>
      <c r="AE6" s="11">
        <v>1393</v>
      </c>
      <c r="AF6" s="11">
        <v>8993151</v>
      </c>
      <c r="AG6" s="11">
        <v>4705428</v>
      </c>
      <c r="AH6" s="11"/>
      <c r="AI6" s="11">
        <v>1676182</v>
      </c>
      <c r="AJ6" s="92">
        <f t="shared" si="0"/>
        <v>118292252</v>
      </c>
    </row>
    <row r="7" spans="1:36" x14ac:dyDescent="0.25">
      <c r="A7" s="11" t="s">
        <v>52</v>
      </c>
      <c r="B7" s="11"/>
      <c r="C7" s="11"/>
      <c r="D7" s="11">
        <v>37670953</v>
      </c>
      <c r="E7" s="11"/>
      <c r="F7" s="11"/>
      <c r="G7" s="11"/>
      <c r="H7" s="11">
        <v>5347567</v>
      </c>
      <c r="I7" s="11"/>
      <c r="J7" s="11"/>
      <c r="K7" s="11"/>
      <c r="L7" s="11">
        <v>-23310782.899999999</v>
      </c>
      <c r="M7" s="11"/>
      <c r="N7" s="11"/>
      <c r="O7" s="11"/>
      <c r="P7" s="11">
        <v>333642</v>
      </c>
      <c r="Q7" s="11"/>
      <c r="R7" s="11"/>
      <c r="S7" s="11"/>
      <c r="T7" s="11"/>
      <c r="U7" s="11"/>
      <c r="V7" s="11"/>
      <c r="W7" s="11">
        <f>118960037+8080790-2980127</f>
        <v>124060700</v>
      </c>
      <c r="X7" s="11">
        <f>26627713-3305324</f>
        <v>23322389</v>
      </c>
      <c r="Y7" s="11"/>
      <c r="Z7" s="11"/>
      <c r="AA7" s="11"/>
      <c r="AB7" s="11"/>
      <c r="AC7" s="11"/>
      <c r="AD7" s="11"/>
      <c r="AE7" s="11"/>
      <c r="AF7" s="11"/>
      <c r="AG7" s="11">
        <v>151237</v>
      </c>
      <c r="AH7" s="11">
        <v>16402862</v>
      </c>
      <c r="AI7" s="11"/>
      <c r="AJ7" s="92">
        <f t="shared" si="0"/>
        <v>183978567.09999999</v>
      </c>
    </row>
    <row r="8" spans="1:36" x14ac:dyDescent="0.25">
      <c r="A8" s="11" t="s">
        <v>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v>1166</v>
      </c>
      <c r="R8" s="11"/>
      <c r="S8" s="11"/>
      <c r="T8" s="11"/>
      <c r="U8" s="11"/>
      <c r="V8" s="11">
        <v>16564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>
        <v>8628</v>
      </c>
      <c r="AI8" s="11"/>
      <c r="AJ8" s="92">
        <f t="shared" si="0"/>
        <v>26358</v>
      </c>
    </row>
    <row r="9" spans="1:36" x14ac:dyDescent="0.25">
      <c r="A9" s="11" t="s">
        <v>54</v>
      </c>
      <c r="B9" s="11">
        <f>B11-B10-B8-B7-B6-B5-B4</f>
        <v>0</v>
      </c>
      <c r="C9" s="11">
        <f t="shared" ref="C9:AI9" si="1">C11-C10-C8-C7-C6-C5-C4</f>
        <v>0</v>
      </c>
      <c r="D9" s="11">
        <f t="shared" si="1"/>
        <v>0</v>
      </c>
      <c r="E9" s="11">
        <f t="shared" si="1"/>
        <v>40569</v>
      </c>
      <c r="F9" s="11">
        <f t="shared" si="1"/>
        <v>0</v>
      </c>
      <c r="G9" s="11">
        <f t="shared" si="1"/>
        <v>0</v>
      </c>
      <c r="H9" s="11">
        <f t="shared" si="1"/>
        <v>200000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47221565.799999997</v>
      </c>
      <c r="M9" s="11">
        <f t="shared" si="1"/>
        <v>0</v>
      </c>
      <c r="N9" s="11">
        <f t="shared" si="1"/>
        <v>0</v>
      </c>
      <c r="O9" s="11">
        <f t="shared" si="1"/>
        <v>315901</v>
      </c>
      <c r="P9" s="11">
        <f t="shared" si="1"/>
        <v>277144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179196</v>
      </c>
      <c r="W9" s="11">
        <f t="shared" si="1"/>
        <v>15337347</v>
      </c>
      <c r="X9" s="11">
        <f t="shared" si="1"/>
        <v>0</v>
      </c>
      <c r="Y9" s="11">
        <f t="shared" si="1"/>
        <v>0</v>
      </c>
      <c r="Z9" s="11">
        <f t="shared" si="1"/>
        <v>207639</v>
      </c>
      <c r="AA9" s="11">
        <f t="shared" si="1"/>
        <v>0</v>
      </c>
      <c r="AB9" s="11">
        <f t="shared" si="1"/>
        <v>283312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125000</v>
      </c>
      <c r="AG9" s="11">
        <f t="shared" si="1"/>
        <v>445000</v>
      </c>
      <c r="AH9" s="11">
        <f t="shared" si="1"/>
        <v>613279</v>
      </c>
      <c r="AI9" s="11">
        <f t="shared" si="1"/>
        <v>0</v>
      </c>
      <c r="AJ9" s="92">
        <f t="shared" si="0"/>
        <v>65245952.799999997</v>
      </c>
    </row>
    <row r="10" spans="1:36" x14ac:dyDescent="0.25">
      <c r="A10" s="11" t="s">
        <v>55</v>
      </c>
      <c r="B10" s="11"/>
      <c r="C10" s="11"/>
      <c r="D10" s="11"/>
      <c r="E10" s="11"/>
      <c r="F10" s="11">
        <v>51801679</v>
      </c>
      <c r="G10" s="11"/>
      <c r="H10" s="11">
        <v>4885765</v>
      </c>
      <c r="I10" s="11"/>
      <c r="J10" s="11"/>
      <c r="K10" s="11"/>
      <c r="L10" s="11">
        <v>3337843.82</v>
      </c>
      <c r="M10" s="11">
        <v>152829</v>
      </c>
      <c r="N10" s="11">
        <v>48750</v>
      </c>
      <c r="O10" s="11">
        <v>6884277</v>
      </c>
      <c r="P10" s="11">
        <v>36610178</v>
      </c>
      <c r="Q10" s="11">
        <v>15858148</v>
      </c>
      <c r="R10" s="11"/>
      <c r="S10" s="11"/>
      <c r="T10" s="11"/>
      <c r="U10" s="11"/>
      <c r="V10" s="11"/>
      <c r="W10" s="11"/>
      <c r="X10" s="11"/>
      <c r="Y10" s="11"/>
      <c r="Z10" s="11">
        <v>6848980</v>
      </c>
      <c r="AA10" s="11"/>
      <c r="AB10" s="11"/>
      <c r="AC10" s="11">
        <v>4524568</v>
      </c>
      <c r="AD10" s="11">
        <v>4502512</v>
      </c>
      <c r="AE10" s="11">
        <v>15821399</v>
      </c>
      <c r="AF10" s="11"/>
      <c r="AG10" s="11">
        <v>8318522</v>
      </c>
      <c r="AH10" s="11"/>
      <c r="AI10" s="11">
        <v>3629551</v>
      </c>
      <c r="AJ10" s="92">
        <f t="shared" si="0"/>
        <v>163225001.81999999</v>
      </c>
    </row>
    <row r="11" spans="1:36" s="9" customFormat="1" x14ac:dyDescent="0.25">
      <c r="A11" s="12" t="s">
        <v>56</v>
      </c>
      <c r="B11" s="12"/>
      <c r="C11" s="12">
        <v>6706564</v>
      </c>
      <c r="D11" s="12">
        <v>37670953</v>
      </c>
      <c r="E11" s="12">
        <v>5367264</v>
      </c>
      <c r="F11" s="12">
        <v>53467876</v>
      </c>
      <c r="G11" s="12">
        <v>1720185</v>
      </c>
      <c r="H11" s="12">
        <v>11865977</v>
      </c>
      <c r="I11" s="12">
        <v>3272020</v>
      </c>
      <c r="J11" s="12"/>
      <c r="K11" s="12"/>
      <c r="L11" s="12">
        <v>27248626.719999999</v>
      </c>
      <c r="M11" s="12">
        <v>152829</v>
      </c>
      <c r="N11" s="12">
        <v>2653098</v>
      </c>
      <c r="O11" s="12">
        <v>15640660</v>
      </c>
      <c r="P11" s="12">
        <v>52940091</v>
      </c>
      <c r="Q11" s="12">
        <v>20379135</v>
      </c>
      <c r="R11" s="12"/>
      <c r="S11" s="12">
        <v>6483749</v>
      </c>
      <c r="T11" s="12">
        <v>2381367</v>
      </c>
      <c r="U11" s="12"/>
      <c r="V11" s="12">
        <v>195760</v>
      </c>
      <c r="W11" s="12">
        <v>158307164</v>
      </c>
      <c r="X11" s="12">
        <v>23324954</v>
      </c>
      <c r="Y11" s="12"/>
      <c r="Z11" s="12">
        <v>14723669</v>
      </c>
      <c r="AA11" s="12"/>
      <c r="AB11" s="12">
        <v>474618</v>
      </c>
      <c r="AC11" s="12">
        <v>7074568</v>
      </c>
      <c r="AD11" s="12">
        <v>17828512</v>
      </c>
      <c r="AE11" s="12">
        <v>15822792</v>
      </c>
      <c r="AF11" s="12">
        <v>9118151</v>
      </c>
      <c r="AG11" s="12">
        <v>13620187</v>
      </c>
      <c r="AH11" s="12">
        <v>17038358</v>
      </c>
      <c r="AI11" s="12">
        <v>5305733</v>
      </c>
      <c r="AJ11" s="91">
        <f t="shared" si="0"/>
        <v>530784860.72000003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62" customWidth="1"/>
    <col min="2" max="103" width="14.28515625" style="62" customWidth="1"/>
    <col min="104" max="16384" width="9.140625" style="62"/>
  </cols>
  <sheetData>
    <row r="1" spans="1:103" ht="18.75" x14ac:dyDescent="0.3">
      <c r="A1" s="61" t="s">
        <v>300</v>
      </c>
    </row>
    <row r="2" spans="1:103" x14ac:dyDescent="0.25">
      <c r="A2" s="63" t="s">
        <v>48</v>
      </c>
    </row>
    <row r="3" spans="1:103" x14ac:dyDescent="0.25">
      <c r="A3" s="112" t="s">
        <v>0</v>
      </c>
      <c r="B3" s="113" t="s">
        <v>1</v>
      </c>
      <c r="C3" s="113"/>
      <c r="D3" s="113"/>
      <c r="E3" s="113" t="s">
        <v>2</v>
      </c>
      <c r="F3" s="113"/>
      <c r="G3" s="113"/>
      <c r="H3" s="113" t="s">
        <v>3</v>
      </c>
      <c r="I3" s="113"/>
      <c r="J3" s="113"/>
      <c r="K3" s="113" t="s">
        <v>4</v>
      </c>
      <c r="L3" s="113"/>
      <c r="M3" s="113"/>
      <c r="N3" s="113" t="s">
        <v>5</v>
      </c>
      <c r="O3" s="113"/>
      <c r="P3" s="113"/>
      <c r="Q3" s="113" t="s">
        <v>6</v>
      </c>
      <c r="R3" s="113"/>
      <c r="S3" s="113"/>
      <c r="T3" s="113" t="s">
        <v>7</v>
      </c>
      <c r="U3" s="113"/>
      <c r="V3" s="113"/>
      <c r="W3" s="113" t="s">
        <v>8</v>
      </c>
      <c r="X3" s="113"/>
      <c r="Y3" s="113"/>
      <c r="Z3" s="113" t="s">
        <v>9</v>
      </c>
      <c r="AA3" s="113"/>
      <c r="AB3" s="113"/>
      <c r="AC3" s="113" t="s">
        <v>10</v>
      </c>
      <c r="AD3" s="113"/>
      <c r="AE3" s="113"/>
      <c r="AF3" s="113" t="s">
        <v>11</v>
      </c>
      <c r="AG3" s="113"/>
      <c r="AH3" s="113"/>
      <c r="AI3" s="113" t="s">
        <v>12</v>
      </c>
      <c r="AJ3" s="113"/>
      <c r="AK3" s="113"/>
      <c r="AL3" s="113" t="s">
        <v>13</v>
      </c>
      <c r="AM3" s="113"/>
      <c r="AN3" s="113"/>
      <c r="AO3" s="113" t="s">
        <v>14</v>
      </c>
      <c r="AP3" s="113"/>
      <c r="AQ3" s="113"/>
      <c r="AR3" s="113" t="s">
        <v>15</v>
      </c>
      <c r="AS3" s="113"/>
      <c r="AT3" s="113"/>
      <c r="AU3" s="113" t="s">
        <v>16</v>
      </c>
      <c r="AV3" s="113"/>
      <c r="AW3" s="113"/>
      <c r="AX3" s="113" t="s">
        <v>17</v>
      </c>
      <c r="AY3" s="113"/>
      <c r="AZ3" s="113"/>
      <c r="BA3" s="113" t="s">
        <v>18</v>
      </c>
      <c r="BB3" s="113"/>
      <c r="BC3" s="113"/>
      <c r="BD3" s="113" t="s">
        <v>19</v>
      </c>
      <c r="BE3" s="113"/>
      <c r="BF3" s="113"/>
      <c r="BG3" s="113" t="s">
        <v>20</v>
      </c>
      <c r="BH3" s="113"/>
      <c r="BI3" s="113"/>
      <c r="BJ3" s="113" t="s">
        <v>21</v>
      </c>
      <c r="BK3" s="113"/>
      <c r="BL3" s="113"/>
      <c r="BM3" s="113" t="s">
        <v>22</v>
      </c>
      <c r="BN3" s="113"/>
      <c r="BO3" s="113"/>
      <c r="BP3" s="113" t="s">
        <v>23</v>
      </c>
      <c r="BQ3" s="113"/>
      <c r="BR3" s="113"/>
      <c r="BS3" s="113" t="s">
        <v>24</v>
      </c>
      <c r="BT3" s="113"/>
      <c r="BU3" s="113"/>
      <c r="BV3" s="113" t="s">
        <v>25</v>
      </c>
      <c r="BW3" s="113"/>
      <c r="BX3" s="113"/>
      <c r="BY3" s="113" t="s">
        <v>26</v>
      </c>
      <c r="BZ3" s="113"/>
      <c r="CA3" s="113"/>
      <c r="CB3" s="113" t="s">
        <v>27</v>
      </c>
      <c r="CC3" s="113"/>
      <c r="CD3" s="113"/>
      <c r="CE3" s="113" t="s">
        <v>28</v>
      </c>
      <c r="CF3" s="113"/>
      <c r="CG3" s="113"/>
      <c r="CH3" s="113" t="s">
        <v>29</v>
      </c>
      <c r="CI3" s="113"/>
      <c r="CJ3" s="113"/>
      <c r="CK3" s="113" t="s">
        <v>30</v>
      </c>
      <c r="CL3" s="113"/>
      <c r="CM3" s="113"/>
      <c r="CN3" s="113" t="s">
        <v>31</v>
      </c>
      <c r="CO3" s="113"/>
      <c r="CP3" s="113"/>
      <c r="CQ3" s="113" t="s">
        <v>32</v>
      </c>
      <c r="CR3" s="113"/>
      <c r="CS3" s="113"/>
      <c r="CT3" s="113" t="s">
        <v>33</v>
      </c>
      <c r="CU3" s="113"/>
      <c r="CV3" s="113"/>
      <c r="CW3" s="113" t="s">
        <v>34</v>
      </c>
      <c r="CX3" s="113"/>
      <c r="CY3" s="113"/>
    </row>
    <row r="4" spans="1:103" x14ac:dyDescent="0.25">
      <c r="A4" s="112"/>
      <c r="B4" s="48" t="s">
        <v>192</v>
      </c>
      <c r="C4" s="48" t="s">
        <v>193</v>
      </c>
      <c r="D4" s="48" t="s">
        <v>164</v>
      </c>
      <c r="E4" s="48" t="s">
        <v>192</v>
      </c>
      <c r="F4" s="48" t="s">
        <v>193</v>
      </c>
      <c r="G4" s="48" t="s">
        <v>164</v>
      </c>
      <c r="H4" s="48" t="s">
        <v>192</v>
      </c>
      <c r="I4" s="48" t="s">
        <v>193</v>
      </c>
      <c r="J4" s="48" t="s">
        <v>164</v>
      </c>
      <c r="K4" s="48" t="s">
        <v>192</v>
      </c>
      <c r="L4" s="48" t="s">
        <v>193</v>
      </c>
      <c r="M4" s="48" t="s">
        <v>164</v>
      </c>
      <c r="N4" s="48" t="s">
        <v>192</v>
      </c>
      <c r="O4" s="48" t="s">
        <v>193</v>
      </c>
      <c r="P4" s="48" t="s">
        <v>164</v>
      </c>
      <c r="Q4" s="48" t="s">
        <v>192</v>
      </c>
      <c r="R4" s="48" t="s">
        <v>193</v>
      </c>
      <c r="S4" s="48" t="s">
        <v>164</v>
      </c>
      <c r="T4" s="48" t="s">
        <v>192</v>
      </c>
      <c r="U4" s="48" t="s">
        <v>193</v>
      </c>
      <c r="V4" s="48" t="s">
        <v>164</v>
      </c>
      <c r="W4" s="48" t="s">
        <v>192</v>
      </c>
      <c r="X4" s="48" t="s">
        <v>193</v>
      </c>
      <c r="Y4" s="48" t="s">
        <v>164</v>
      </c>
      <c r="Z4" s="48" t="s">
        <v>192</v>
      </c>
      <c r="AA4" s="48" t="s">
        <v>193</v>
      </c>
      <c r="AB4" s="48" t="s">
        <v>164</v>
      </c>
      <c r="AC4" s="48" t="s">
        <v>192</v>
      </c>
      <c r="AD4" s="48" t="s">
        <v>193</v>
      </c>
      <c r="AE4" s="48" t="s">
        <v>164</v>
      </c>
      <c r="AF4" s="48" t="s">
        <v>192</v>
      </c>
      <c r="AG4" s="48" t="s">
        <v>193</v>
      </c>
      <c r="AH4" s="48" t="s">
        <v>164</v>
      </c>
      <c r="AI4" s="48" t="s">
        <v>192</v>
      </c>
      <c r="AJ4" s="48" t="s">
        <v>193</v>
      </c>
      <c r="AK4" s="48" t="s">
        <v>164</v>
      </c>
      <c r="AL4" s="48" t="s">
        <v>192</v>
      </c>
      <c r="AM4" s="48" t="s">
        <v>193</v>
      </c>
      <c r="AN4" s="48" t="s">
        <v>164</v>
      </c>
      <c r="AO4" s="48" t="s">
        <v>192</v>
      </c>
      <c r="AP4" s="48" t="s">
        <v>193</v>
      </c>
      <c r="AQ4" s="48" t="s">
        <v>164</v>
      </c>
      <c r="AR4" s="48" t="s">
        <v>192</v>
      </c>
      <c r="AS4" s="48" t="s">
        <v>193</v>
      </c>
      <c r="AT4" s="48" t="s">
        <v>164</v>
      </c>
      <c r="AU4" s="48" t="s">
        <v>192</v>
      </c>
      <c r="AV4" s="48" t="s">
        <v>193</v>
      </c>
      <c r="AW4" s="48" t="s">
        <v>164</v>
      </c>
      <c r="AX4" s="48" t="s">
        <v>192</v>
      </c>
      <c r="AY4" s="48" t="s">
        <v>193</v>
      </c>
      <c r="AZ4" s="48" t="s">
        <v>164</v>
      </c>
      <c r="BA4" s="48" t="s">
        <v>192</v>
      </c>
      <c r="BB4" s="48" t="s">
        <v>193</v>
      </c>
      <c r="BC4" s="48" t="s">
        <v>164</v>
      </c>
      <c r="BD4" s="48" t="s">
        <v>192</v>
      </c>
      <c r="BE4" s="48" t="s">
        <v>193</v>
      </c>
      <c r="BF4" s="48" t="s">
        <v>164</v>
      </c>
      <c r="BG4" s="48" t="s">
        <v>192</v>
      </c>
      <c r="BH4" s="48" t="s">
        <v>193</v>
      </c>
      <c r="BI4" s="48" t="s">
        <v>164</v>
      </c>
      <c r="BJ4" s="48" t="s">
        <v>192</v>
      </c>
      <c r="BK4" s="48" t="s">
        <v>193</v>
      </c>
      <c r="BL4" s="48" t="s">
        <v>164</v>
      </c>
      <c r="BM4" s="48" t="s">
        <v>192</v>
      </c>
      <c r="BN4" s="48" t="s">
        <v>193</v>
      </c>
      <c r="BO4" s="48" t="s">
        <v>164</v>
      </c>
      <c r="BP4" s="48" t="s">
        <v>192</v>
      </c>
      <c r="BQ4" s="48" t="s">
        <v>193</v>
      </c>
      <c r="BR4" s="48" t="s">
        <v>164</v>
      </c>
      <c r="BS4" s="48" t="s">
        <v>192</v>
      </c>
      <c r="BT4" s="48" t="s">
        <v>193</v>
      </c>
      <c r="BU4" s="48" t="s">
        <v>164</v>
      </c>
      <c r="BV4" s="48" t="s">
        <v>192</v>
      </c>
      <c r="BW4" s="48" t="s">
        <v>193</v>
      </c>
      <c r="BX4" s="48" t="s">
        <v>164</v>
      </c>
      <c r="BY4" s="79" t="s">
        <v>192</v>
      </c>
      <c r="BZ4" s="79" t="s">
        <v>193</v>
      </c>
      <c r="CA4" s="79" t="s">
        <v>164</v>
      </c>
      <c r="CB4" s="48" t="s">
        <v>192</v>
      </c>
      <c r="CC4" s="48" t="s">
        <v>193</v>
      </c>
      <c r="CD4" s="48" t="s">
        <v>164</v>
      </c>
      <c r="CE4" s="48" t="s">
        <v>192</v>
      </c>
      <c r="CF4" s="48" t="s">
        <v>193</v>
      </c>
      <c r="CG4" s="48" t="s">
        <v>164</v>
      </c>
      <c r="CH4" s="48" t="s">
        <v>192</v>
      </c>
      <c r="CI4" s="48" t="s">
        <v>193</v>
      </c>
      <c r="CJ4" s="48" t="s">
        <v>164</v>
      </c>
      <c r="CK4" s="48" t="s">
        <v>192</v>
      </c>
      <c r="CL4" s="48" t="s">
        <v>193</v>
      </c>
      <c r="CM4" s="48" t="s">
        <v>164</v>
      </c>
      <c r="CN4" s="48" t="s">
        <v>192</v>
      </c>
      <c r="CO4" s="48" t="s">
        <v>193</v>
      </c>
      <c r="CP4" s="48" t="s">
        <v>164</v>
      </c>
      <c r="CQ4" s="48" t="s">
        <v>192</v>
      </c>
      <c r="CR4" s="48" t="s">
        <v>193</v>
      </c>
      <c r="CS4" s="48" t="s">
        <v>164</v>
      </c>
      <c r="CT4" s="86" t="s">
        <v>192</v>
      </c>
      <c r="CU4" s="86" t="s">
        <v>193</v>
      </c>
      <c r="CV4" s="86" t="s">
        <v>164</v>
      </c>
      <c r="CW4" s="48" t="s">
        <v>192</v>
      </c>
      <c r="CX4" s="48" t="s">
        <v>193</v>
      </c>
      <c r="CY4" s="48" t="s">
        <v>164</v>
      </c>
    </row>
    <row r="5" spans="1:103" x14ac:dyDescent="0.25">
      <c r="A5" s="64" t="s">
        <v>194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</row>
    <row r="6" spans="1:103" ht="30" x14ac:dyDescent="0.25">
      <c r="A6" s="66" t="s">
        <v>195</v>
      </c>
      <c r="B6" s="65">
        <v>252689</v>
      </c>
      <c r="C6" s="65">
        <v>369392</v>
      </c>
      <c r="D6" s="65">
        <f t="shared" ref="D6:D19" si="0">B6+C6</f>
        <v>622081</v>
      </c>
      <c r="E6" s="65">
        <v>1052887</v>
      </c>
      <c r="F6" s="65">
        <v>755896</v>
      </c>
      <c r="G6" s="65">
        <f>F6+E6</f>
        <v>1808783</v>
      </c>
      <c r="H6" s="65"/>
      <c r="I6" s="65"/>
      <c r="J6" s="65">
        <v>10724965</v>
      </c>
      <c r="K6" s="65"/>
      <c r="L6" s="65">
        <v>5079747</v>
      </c>
      <c r="M6" s="65">
        <f>L6+K6</f>
        <v>5079747</v>
      </c>
      <c r="N6" s="65">
        <v>18128839</v>
      </c>
      <c r="O6" s="65">
        <v>47965474</v>
      </c>
      <c r="P6" s="65">
        <f>O6+N6</f>
        <v>66094313</v>
      </c>
      <c r="Q6" s="65">
        <v>1812657</v>
      </c>
      <c r="R6" s="65">
        <v>13192784</v>
      </c>
      <c r="S6" s="65">
        <f>R6+Q6</f>
        <v>15005441</v>
      </c>
      <c r="T6" s="65">
        <v>4034822</v>
      </c>
      <c r="U6" s="65">
        <v>41091260</v>
      </c>
      <c r="V6" s="65">
        <f>U6+T6</f>
        <v>45126082</v>
      </c>
      <c r="W6" s="65">
        <v>346449</v>
      </c>
      <c r="X6" s="65">
        <v>777259</v>
      </c>
      <c r="Y6" s="65">
        <f>X6+W6</f>
        <v>1123708</v>
      </c>
      <c r="Z6" s="65">
        <v>153805</v>
      </c>
      <c r="AA6" s="65">
        <v>518529</v>
      </c>
      <c r="AB6" s="65">
        <f>AA6+Z6</f>
        <v>672334</v>
      </c>
      <c r="AC6" s="65">
        <v>307607</v>
      </c>
      <c r="AD6" s="65">
        <v>200273</v>
      </c>
      <c r="AE6" s="65">
        <f>AD6+AC6</f>
        <v>507880</v>
      </c>
      <c r="AF6" s="65">
        <f>8841646.73+4802629.52</f>
        <v>13644276.25</v>
      </c>
      <c r="AG6" s="65">
        <f>12723345.29+6911101.01</f>
        <v>19634446.299999997</v>
      </c>
      <c r="AH6" s="65">
        <f>AG6+AF6</f>
        <v>33278722.549999997</v>
      </c>
      <c r="AI6" s="65">
        <v>2468458</v>
      </c>
      <c r="AJ6" s="65">
        <v>11037162</v>
      </c>
      <c r="AK6" s="65">
        <f>AJ6+AI6</f>
        <v>13505620</v>
      </c>
      <c r="AL6" s="65">
        <v>2642049</v>
      </c>
      <c r="AM6" s="65">
        <v>9013521</v>
      </c>
      <c r="AN6" s="65">
        <f>AM6+AL6</f>
        <v>11655570</v>
      </c>
      <c r="AO6" s="65">
        <v>6589792</v>
      </c>
      <c r="AP6" s="65">
        <v>24880759</v>
      </c>
      <c r="AQ6" s="65">
        <f>AP6+AO6</f>
        <v>31470551</v>
      </c>
      <c r="AR6" s="65">
        <v>15532071</v>
      </c>
      <c r="AS6" s="65">
        <v>51283668</v>
      </c>
      <c r="AT6" s="65">
        <f>AS6+AR6</f>
        <v>66815739</v>
      </c>
      <c r="AU6" s="65">
        <v>6392442</v>
      </c>
      <c r="AV6" s="65">
        <v>24832857</v>
      </c>
      <c r="AW6" s="65">
        <f>AV6+AU6</f>
        <v>31225299</v>
      </c>
      <c r="AX6" s="65">
        <v>492458</v>
      </c>
      <c r="AY6" s="65">
        <v>1369616</v>
      </c>
      <c r="AZ6" s="65">
        <f>AY6+AX6</f>
        <v>1862074</v>
      </c>
      <c r="BA6" s="65">
        <v>1199910</v>
      </c>
      <c r="BB6" s="65">
        <v>2829794</v>
      </c>
      <c r="BC6" s="65">
        <f>BB6+BA6</f>
        <v>4029704</v>
      </c>
      <c r="BD6" s="65">
        <v>928842</v>
      </c>
      <c r="BE6" s="65">
        <v>5142752</v>
      </c>
      <c r="BF6" s="65">
        <f>BE6+BD6</f>
        <v>6071594</v>
      </c>
      <c r="BG6" s="65">
        <v>556485</v>
      </c>
      <c r="BH6" s="65">
        <v>992396</v>
      </c>
      <c r="BI6" s="65">
        <f>BH6+BG6</f>
        <v>1548881</v>
      </c>
      <c r="BJ6" s="65"/>
      <c r="BK6" s="65"/>
      <c r="BL6" s="65">
        <f>BK6+BJ6</f>
        <v>0</v>
      </c>
      <c r="BM6" s="65">
        <v>69151272</v>
      </c>
      <c r="BN6" s="65">
        <v>131126419</v>
      </c>
      <c r="BO6" s="65">
        <f>BN6+BM6</f>
        <v>200277691</v>
      </c>
      <c r="BP6" s="65"/>
      <c r="BQ6" s="65"/>
      <c r="BR6" s="65">
        <v>84433225</v>
      </c>
      <c r="BS6" s="65">
        <v>549076</v>
      </c>
      <c r="BT6" s="65">
        <v>933808</v>
      </c>
      <c r="BU6" s="65">
        <f>BT6+BS6</f>
        <v>1482884</v>
      </c>
      <c r="BV6" s="65">
        <v>3079706</v>
      </c>
      <c r="BW6" s="65">
        <v>18262476</v>
      </c>
      <c r="BX6" s="65">
        <f>BW6+BV6</f>
        <v>21342182</v>
      </c>
      <c r="BY6" s="65">
        <v>23710</v>
      </c>
      <c r="BZ6" s="65">
        <v>61208</v>
      </c>
      <c r="CA6" s="65">
        <f>BZ6+BY6</f>
        <v>84918</v>
      </c>
      <c r="CB6" s="65"/>
      <c r="CC6" s="65"/>
      <c r="CD6" s="65">
        <v>3273519</v>
      </c>
      <c r="CE6" s="65">
        <v>3723035</v>
      </c>
      <c r="CF6" s="65">
        <v>14989685</v>
      </c>
      <c r="CG6" s="65">
        <f>CF6+CE6</f>
        <v>18712720</v>
      </c>
      <c r="CH6" s="65">
        <v>2950222</v>
      </c>
      <c r="CI6" s="65">
        <v>12860027</v>
      </c>
      <c r="CJ6" s="65">
        <f>CI6+CH6</f>
        <v>15810249</v>
      </c>
      <c r="CK6" s="65">
        <v>4856950</v>
      </c>
      <c r="CL6" s="65">
        <v>22738256</v>
      </c>
      <c r="CM6" s="65">
        <f>CL6+CK6</f>
        <v>27595206</v>
      </c>
      <c r="CN6" s="65">
        <v>6376180</v>
      </c>
      <c r="CO6" s="65">
        <v>10121052</v>
      </c>
      <c r="CP6" s="65">
        <f>CO6+CN6</f>
        <v>16497232</v>
      </c>
      <c r="CQ6" s="65">
        <v>7740128</v>
      </c>
      <c r="CR6" s="65">
        <v>32774804</v>
      </c>
      <c r="CS6" s="65">
        <f>CR6+CQ6</f>
        <v>40514932</v>
      </c>
      <c r="CT6" s="65"/>
      <c r="CU6" s="65"/>
      <c r="CV6" s="65">
        <v>117049573</v>
      </c>
      <c r="CW6" s="65">
        <v>2068075</v>
      </c>
      <c r="CX6" s="65">
        <v>6342715</v>
      </c>
      <c r="CY6" s="65">
        <f>CX6+CW6</f>
        <v>8410790</v>
      </c>
    </row>
    <row r="7" spans="1:103" ht="15" customHeight="1" x14ac:dyDescent="0.25">
      <c r="A7" s="66" t="s">
        <v>196</v>
      </c>
      <c r="B7" s="65"/>
      <c r="C7" s="65"/>
      <c r="D7" s="65">
        <f t="shared" si="0"/>
        <v>0</v>
      </c>
      <c r="E7" s="65">
        <v>519940</v>
      </c>
      <c r="F7" s="65">
        <v>508315</v>
      </c>
      <c r="G7" s="65">
        <f t="shared" ref="G7:G19" si="1">F7+E7</f>
        <v>1028255</v>
      </c>
      <c r="H7" s="65"/>
      <c r="I7" s="65"/>
      <c r="J7" s="65">
        <v>8816227</v>
      </c>
      <c r="K7" s="65"/>
      <c r="L7" s="65"/>
      <c r="M7" s="65">
        <f t="shared" ref="M7:M19" si="2">L7+K7</f>
        <v>0</v>
      </c>
      <c r="N7" s="65"/>
      <c r="O7" s="65"/>
      <c r="P7" s="65">
        <f t="shared" ref="P7:P19" si="3">O7+N7</f>
        <v>0</v>
      </c>
      <c r="Q7" s="65"/>
      <c r="R7" s="65"/>
      <c r="S7" s="65">
        <f t="shared" ref="S7:S19" si="4">R7+Q7</f>
        <v>0</v>
      </c>
      <c r="T7" s="65"/>
      <c r="U7" s="65"/>
      <c r="V7" s="65">
        <f t="shared" ref="V7:V19" si="5">U7+T7</f>
        <v>0</v>
      </c>
      <c r="W7" s="65">
        <v>254654</v>
      </c>
      <c r="X7" s="65">
        <v>466408</v>
      </c>
      <c r="Y7" s="65">
        <f t="shared" ref="Y7:Y19" si="6">X7+W7</f>
        <v>721062</v>
      </c>
      <c r="Z7" s="65">
        <v>100154</v>
      </c>
      <c r="AA7" s="65">
        <v>150073</v>
      </c>
      <c r="AB7" s="65">
        <f t="shared" ref="AB7:AB19" si="7">AA7+Z7</f>
        <v>250227</v>
      </c>
      <c r="AC7" s="65">
        <v>163357</v>
      </c>
      <c r="AD7" s="65">
        <v>5020</v>
      </c>
      <c r="AE7" s="65">
        <f t="shared" ref="AE7:AE19" si="8">AD7+AC7</f>
        <v>168377</v>
      </c>
      <c r="AF7" s="65">
        <v>389677.05</v>
      </c>
      <c r="AG7" s="65">
        <v>560754.79</v>
      </c>
      <c r="AH7" s="65">
        <f t="shared" ref="AH7:AH19" si="9">AG7+AF7</f>
        <v>950431.84000000008</v>
      </c>
      <c r="AI7" s="65"/>
      <c r="AJ7" s="65"/>
      <c r="AK7" s="65">
        <f t="shared" ref="AK7:AK19" si="10">AJ7+AI7</f>
        <v>0</v>
      </c>
      <c r="AL7" s="65">
        <v>212047</v>
      </c>
      <c r="AM7" s="65">
        <v>154607</v>
      </c>
      <c r="AN7" s="65">
        <f t="shared" ref="AN7:AN19" si="11">AM7+AL7</f>
        <v>366654</v>
      </c>
      <c r="AO7" s="65">
        <v>2672742</v>
      </c>
      <c r="AP7" s="65">
        <v>10091344</v>
      </c>
      <c r="AQ7" s="65">
        <f t="shared" ref="AQ7:AQ19" si="12">AP7+AO7</f>
        <v>12764086</v>
      </c>
      <c r="AR7" s="65"/>
      <c r="AS7" s="65"/>
      <c r="AT7" s="65">
        <f t="shared" ref="AT7:AT19" si="13">AS7+AR7</f>
        <v>0</v>
      </c>
      <c r="AU7" s="65">
        <v>378630</v>
      </c>
      <c r="AV7" s="65">
        <v>1470870</v>
      </c>
      <c r="AW7" s="65">
        <f t="shared" ref="AW7:AW19" si="14">AV7+AU7</f>
        <v>1849500</v>
      </c>
      <c r="AX7" s="65"/>
      <c r="AY7" s="65"/>
      <c r="AZ7" s="65">
        <f t="shared" ref="AZ7:AZ19" si="15">AY7+AX7</f>
        <v>0</v>
      </c>
      <c r="BA7" s="65">
        <v>706282</v>
      </c>
      <c r="BB7" s="65">
        <v>1665652</v>
      </c>
      <c r="BC7" s="65">
        <f t="shared" ref="BC7:BC19" si="16">BB7+BA7</f>
        <v>2371934</v>
      </c>
      <c r="BD7" s="65">
        <v>167030</v>
      </c>
      <c r="BE7" s="65">
        <v>924799</v>
      </c>
      <c r="BF7" s="65">
        <f t="shared" ref="BF7:BF19" si="17">BE7+BD7</f>
        <v>1091829</v>
      </c>
      <c r="BG7" s="65">
        <v>612187</v>
      </c>
      <c r="BH7" s="65">
        <v>153095</v>
      </c>
      <c r="BI7" s="65">
        <f t="shared" ref="BI7:BI19" si="18">BH7+BG7</f>
        <v>765282</v>
      </c>
      <c r="BJ7" s="65"/>
      <c r="BK7" s="65"/>
      <c r="BL7" s="65">
        <v>5062</v>
      </c>
      <c r="BM7" s="65"/>
      <c r="BN7" s="65"/>
      <c r="BO7" s="65">
        <f t="shared" ref="BO7:BO19" si="19">BN7+BM7</f>
        <v>0</v>
      </c>
      <c r="BP7" s="65"/>
      <c r="BQ7" s="65"/>
      <c r="BR7" s="65">
        <v>642950</v>
      </c>
      <c r="BS7" s="65"/>
      <c r="BT7" s="65"/>
      <c r="BU7" s="65">
        <f t="shared" ref="BU7:BU19" si="20">BT7+BS7</f>
        <v>0</v>
      </c>
      <c r="BV7" s="65">
        <v>1628825</v>
      </c>
      <c r="BW7" s="65">
        <v>9658835</v>
      </c>
      <c r="BX7" s="65">
        <f t="shared" ref="BX7:BX19" si="21">BW7+BV7</f>
        <v>11287660</v>
      </c>
      <c r="BY7" s="65"/>
      <c r="BZ7" s="65"/>
      <c r="CA7" s="65">
        <f t="shared" ref="CA7:CA19" si="22">BZ7+BY7</f>
        <v>0</v>
      </c>
      <c r="CB7" s="65"/>
      <c r="CC7" s="65"/>
      <c r="CD7" s="65">
        <v>1231083</v>
      </c>
      <c r="CE7" s="65"/>
      <c r="CF7" s="65"/>
      <c r="CG7" s="65">
        <f t="shared" ref="CG7:CG19" si="23">CF7+CE7</f>
        <v>0</v>
      </c>
      <c r="CH7" s="65">
        <v>752272</v>
      </c>
      <c r="CI7" s="65">
        <v>5503141</v>
      </c>
      <c r="CJ7" s="65">
        <f t="shared" ref="CJ7:CJ19" si="24">CI7+CH7</f>
        <v>6255413</v>
      </c>
      <c r="CK7" s="65">
        <v>179100</v>
      </c>
      <c r="CL7" s="65"/>
      <c r="CM7" s="65">
        <f t="shared" ref="CM7:CM19" si="25">CL7+CK7</f>
        <v>179100</v>
      </c>
      <c r="CN7" s="65">
        <v>2420761</v>
      </c>
      <c r="CO7" s="65">
        <v>3842528</v>
      </c>
      <c r="CP7" s="65">
        <f t="shared" ref="CP7:CP19" si="26">CO7+CN7</f>
        <v>6263289</v>
      </c>
      <c r="CQ7" s="65"/>
      <c r="CR7" s="65"/>
      <c r="CS7" s="65">
        <f t="shared" ref="CS7:CS19" si="27">CR7+CQ7</f>
        <v>0</v>
      </c>
      <c r="CT7" s="65"/>
      <c r="CU7" s="65"/>
      <c r="CV7" s="65">
        <f t="shared" ref="CV7:CV17" si="28">CU7+CT7</f>
        <v>0</v>
      </c>
      <c r="CW7" s="65"/>
      <c r="CX7" s="65"/>
      <c r="CY7" s="65">
        <f t="shared" ref="CY7:CY19" si="29">CX7+CW7</f>
        <v>0</v>
      </c>
    </row>
    <row r="8" spans="1:103" ht="15" customHeight="1" x14ac:dyDescent="0.25">
      <c r="A8" s="66" t="s">
        <v>197</v>
      </c>
      <c r="B8" s="65"/>
      <c r="C8" s="65"/>
      <c r="D8" s="65">
        <f t="shared" si="0"/>
        <v>0</v>
      </c>
      <c r="E8" s="65"/>
      <c r="F8" s="65"/>
      <c r="G8" s="65">
        <f t="shared" si="1"/>
        <v>0</v>
      </c>
      <c r="H8" s="65"/>
      <c r="I8" s="65"/>
      <c r="J8" s="65">
        <f t="shared" ref="J7:J19" si="30">I8+H8</f>
        <v>0</v>
      </c>
      <c r="K8" s="65"/>
      <c r="L8" s="65"/>
      <c r="M8" s="65">
        <f t="shared" si="2"/>
        <v>0</v>
      </c>
      <c r="N8" s="65"/>
      <c r="O8" s="65"/>
      <c r="P8" s="65">
        <f t="shared" si="3"/>
        <v>0</v>
      </c>
      <c r="Q8" s="65"/>
      <c r="R8" s="65"/>
      <c r="S8" s="65">
        <f t="shared" si="4"/>
        <v>0</v>
      </c>
      <c r="T8" s="65"/>
      <c r="U8" s="65"/>
      <c r="V8" s="65">
        <f t="shared" si="5"/>
        <v>0</v>
      </c>
      <c r="W8" s="65"/>
      <c r="X8" s="65"/>
      <c r="Y8" s="65">
        <f t="shared" si="6"/>
        <v>0</v>
      </c>
      <c r="Z8" s="65"/>
      <c r="AA8" s="65"/>
      <c r="AB8" s="65">
        <f t="shared" si="7"/>
        <v>0</v>
      </c>
      <c r="AC8" s="65"/>
      <c r="AD8" s="65"/>
      <c r="AE8" s="65">
        <f t="shared" si="8"/>
        <v>0</v>
      </c>
      <c r="AF8" s="65"/>
      <c r="AG8" s="65"/>
      <c r="AH8" s="65">
        <f t="shared" si="9"/>
        <v>0</v>
      </c>
      <c r="AI8" s="65"/>
      <c r="AJ8" s="65"/>
      <c r="AK8" s="65">
        <f t="shared" si="10"/>
        <v>0</v>
      </c>
      <c r="AL8" s="65"/>
      <c r="AM8" s="65"/>
      <c r="AN8" s="65">
        <f t="shared" si="11"/>
        <v>0</v>
      </c>
      <c r="AO8" s="65"/>
      <c r="AP8" s="65"/>
      <c r="AQ8" s="65">
        <f t="shared" si="12"/>
        <v>0</v>
      </c>
      <c r="AR8" s="65"/>
      <c r="AS8" s="65"/>
      <c r="AT8" s="65">
        <f t="shared" si="13"/>
        <v>0</v>
      </c>
      <c r="AU8" s="65"/>
      <c r="AV8" s="65"/>
      <c r="AW8" s="65">
        <f t="shared" si="14"/>
        <v>0</v>
      </c>
      <c r="AX8" s="65"/>
      <c r="AY8" s="65"/>
      <c r="AZ8" s="65">
        <f t="shared" si="15"/>
        <v>0</v>
      </c>
      <c r="BA8" s="65"/>
      <c r="BB8" s="65"/>
      <c r="BC8" s="65">
        <f t="shared" si="16"/>
        <v>0</v>
      </c>
      <c r="BD8" s="65"/>
      <c r="BE8" s="65"/>
      <c r="BF8" s="65">
        <f t="shared" si="17"/>
        <v>0</v>
      </c>
      <c r="BG8" s="65"/>
      <c r="BH8" s="65"/>
      <c r="BI8" s="65">
        <f t="shared" si="18"/>
        <v>0</v>
      </c>
      <c r="BJ8" s="65"/>
      <c r="BK8" s="65"/>
      <c r="BL8" s="65">
        <f t="shared" ref="BL7:BL19" si="31">BK8+BJ8</f>
        <v>0</v>
      </c>
      <c r="BM8" s="65"/>
      <c r="BN8" s="65"/>
      <c r="BO8" s="65">
        <f t="shared" si="19"/>
        <v>0</v>
      </c>
      <c r="BP8" s="65"/>
      <c r="BQ8" s="65"/>
      <c r="BR8" s="65">
        <f t="shared" ref="BR8:BR19" si="32">BQ8+BP8</f>
        <v>0</v>
      </c>
      <c r="BS8" s="65"/>
      <c r="BT8" s="65"/>
      <c r="BU8" s="65">
        <f t="shared" si="20"/>
        <v>0</v>
      </c>
      <c r="BV8" s="65"/>
      <c r="BW8" s="65"/>
      <c r="BX8" s="65">
        <f t="shared" si="21"/>
        <v>0</v>
      </c>
      <c r="BY8" s="65"/>
      <c r="BZ8" s="65"/>
      <c r="CA8" s="65">
        <f t="shared" si="22"/>
        <v>0</v>
      </c>
      <c r="CB8" s="65"/>
      <c r="CC8" s="65"/>
      <c r="CD8" s="65">
        <f t="shared" ref="CD8:CD17" si="33">CC8+CB8</f>
        <v>0</v>
      </c>
      <c r="CE8" s="65"/>
      <c r="CF8" s="65"/>
      <c r="CG8" s="65">
        <f t="shared" si="23"/>
        <v>0</v>
      </c>
      <c r="CH8" s="65"/>
      <c r="CI8" s="65"/>
      <c r="CJ8" s="65">
        <f t="shared" si="24"/>
        <v>0</v>
      </c>
      <c r="CK8" s="65"/>
      <c r="CL8" s="65"/>
      <c r="CM8" s="65">
        <f t="shared" si="25"/>
        <v>0</v>
      </c>
      <c r="CN8" s="65"/>
      <c r="CO8" s="65"/>
      <c r="CP8" s="65">
        <f t="shared" si="26"/>
        <v>0</v>
      </c>
      <c r="CQ8" s="65"/>
      <c r="CR8" s="65"/>
      <c r="CS8" s="65">
        <f t="shared" si="27"/>
        <v>0</v>
      </c>
      <c r="CT8" s="65"/>
      <c r="CU8" s="65"/>
      <c r="CV8" s="65">
        <f t="shared" si="28"/>
        <v>0</v>
      </c>
      <c r="CW8" s="65"/>
      <c r="CX8" s="65"/>
      <c r="CY8" s="65">
        <f t="shared" si="29"/>
        <v>0</v>
      </c>
    </row>
    <row r="9" spans="1:103" ht="15" customHeight="1" x14ac:dyDescent="0.25">
      <c r="A9" s="66" t="s">
        <v>198</v>
      </c>
      <c r="B9" s="65"/>
      <c r="C9" s="65"/>
      <c r="D9" s="65">
        <f t="shared" si="0"/>
        <v>0</v>
      </c>
      <c r="E9" s="65"/>
      <c r="F9" s="65"/>
      <c r="G9" s="65">
        <f t="shared" si="1"/>
        <v>0</v>
      </c>
      <c r="H9" s="65"/>
      <c r="I9" s="65"/>
      <c r="J9" s="65">
        <f t="shared" si="30"/>
        <v>0</v>
      </c>
      <c r="K9" s="65"/>
      <c r="L9" s="65"/>
      <c r="M9" s="65">
        <f t="shared" si="2"/>
        <v>0</v>
      </c>
      <c r="N9" s="65"/>
      <c r="O9" s="65"/>
      <c r="P9" s="65">
        <f t="shared" si="3"/>
        <v>0</v>
      </c>
      <c r="Q9" s="65"/>
      <c r="R9" s="65"/>
      <c r="S9" s="65">
        <f t="shared" si="4"/>
        <v>0</v>
      </c>
      <c r="T9" s="65"/>
      <c r="U9" s="65"/>
      <c r="V9" s="65">
        <f t="shared" si="5"/>
        <v>0</v>
      </c>
      <c r="W9" s="65"/>
      <c r="X9" s="65"/>
      <c r="Y9" s="65">
        <f t="shared" si="6"/>
        <v>0</v>
      </c>
      <c r="Z9" s="65"/>
      <c r="AA9" s="65"/>
      <c r="AB9" s="65">
        <f t="shared" si="7"/>
        <v>0</v>
      </c>
      <c r="AC9" s="65"/>
      <c r="AD9" s="65"/>
      <c r="AE9" s="65">
        <f t="shared" si="8"/>
        <v>0</v>
      </c>
      <c r="AF9" s="65"/>
      <c r="AG9" s="65"/>
      <c r="AH9" s="65">
        <f t="shared" si="9"/>
        <v>0</v>
      </c>
      <c r="AI9" s="65"/>
      <c r="AJ9" s="65"/>
      <c r="AK9" s="65">
        <f t="shared" si="10"/>
        <v>0</v>
      </c>
      <c r="AL9" s="65"/>
      <c r="AM9" s="65"/>
      <c r="AN9" s="65">
        <f t="shared" si="11"/>
        <v>0</v>
      </c>
      <c r="AO9" s="65"/>
      <c r="AP9" s="65"/>
      <c r="AQ9" s="65">
        <f t="shared" si="12"/>
        <v>0</v>
      </c>
      <c r="AR9" s="65"/>
      <c r="AS9" s="65"/>
      <c r="AT9" s="65">
        <f t="shared" si="13"/>
        <v>0</v>
      </c>
      <c r="AU9" s="65"/>
      <c r="AV9" s="65"/>
      <c r="AW9" s="65">
        <f t="shared" si="14"/>
        <v>0</v>
      </c>
      <c r="AX9" s="65"/>
      <c r="AY9" s="65"/>
      <c r="AZ9" s="65">
        <f t="shared" si="15"/>
        <v>0</v>
      </c>
      <c r="BA9" s="65"/>
      <c r="BB9" s="65"/>
      <c r="BC9" s="65">
        <f t="shared" si="16"/>
        <v>0</v>
      </c>
      <c r="BD9" s="65"/>
      <c r="BE9" s="65"/>
      <c r="BF9" s="65">
        <f t="shared" si="17"/>
        <v>0</v>
      </c>
      <c r="BG9" s="65"/>
      <c r="BH9" s="65"/>
      <c r="BI9" s="65">
        <f t="shared" si="18"/>
        <v>0</v>
      </c>
      <c r="BJ9" s="65"/>
      <c r="BK9" s="65"/>
      <c r="BL9" s="65">
        <f t="shared" si="31"/>
        <v>0</v>
      </c>
      <c r="BM9" s="65"/>
      <c r="BN9" s="65"/>
      <c r="BO9" s="65">
        <f t="shared" si="19"/>
        <v>0</v>
      </c>
      <c r="BP9" s="65"/>
      <c r="BQ9" s="65"/>
      <c r="BR9" s="65">
        <f t="shared" si="32"/>
        <v>0</v>
      </c>
      <c r="BS9" s="65"/>
      <c r="BT9" s="65"/>
      <c r="BU9" s="65">
        <f t="shared" si="20"/>
        <v>0</v>
      </c>
      <c r="BV9" s="65"/>
      <c r="BW9" s="65"/>
      <c r="BX9" s="65">
        <f t="shared" si="21"/>
        <v>0</v>
      </c>
      <c r="BY9" s="65"/>
      <c r="BZ9" s="65"/>
      <c r="CA9" s="65">
        <f t="shared" si="22"/>
        <v>0</v>
      </c>
      <c r="CB9" s="65"/>
      <c r="CC9" s="65"/>
      <c r="CD9" s="65">
        <f t="shared" si="33"/>
        <v>0</v>
      </c>
      <c r="CE9" s="65"/>
      <c r="CF9" s="65"/>
      <c r="CG9" s="65">
        <f t="shared" si="23"/>
        <v>0</v>
      </c>
      <c r="CH9" s="65"/>
      <c r="CI9" s="65"/>
      <c r="CJ9" s="65">
        <f t="shared" si="24"/>
        <v>0</v>
      </c>
      <c r="CK9" s="65"/>
      <c r="CL9" s="65"/>
      <c r="CM9" s="65">
        <f t="shared" si="25"/>
        <v>0</v>
      </c>
      <c r="CN9" s="65"/>
      <c r="CO9" s="65"/>
      <c r="CP9" s="65">
        <f t="shared" si="26"/>
        <v>0</v>
      </c>
      <c r="CQ9" s="65"/>
      <c r="CR9" s="65"/>
      <c r="CS9" s="65">
        <f t="shared" si="27"/>
        <v>0</v>
      </c>
      <c r="CT9" s="65"/>
      <c r="CU9" s="65"/>
      <c r="CV9" s="65">
        <f t="shared" si="28"/>
        <v>0</v>
      </c>
      <c r="CW9" s="65"/>
      <c r="CX9" s="65"/>
      <c r="CY9" s="65">
        <f t="shared" si="29"/>
        <v>0</v>
      </c>
    </row>
    <row r="10" spans="1:103" ht="15" customHeight="1" x14ac:dyDescent="0.25">
      <c r="A10" s="66" t="s">
        <v>199</v>
      </c>
      <c r="B10" s="65"/>
      <c r="C10" s="65"/>
      <c r="D10" s="65">
        <f t="shared" si="0"/>
        <v>0</v>
      </c>
      <c r="E10" s="65"/>
      <c r="F10" s="65"/>
      <c r="G10" s="65">
        <f t="shared" si="1"/>
        <v>0</v>
      </c>
      <c r="H10" s="65"/>
      <c r="I10" s="65"/>
      <c r="J10" s="65">
        <v>2619752</v>
      </c>
      <c r="K10" s="65"/>
      <c r="L10" s="65"/>
      <c r="M10" s="65">
        <f t="shared" si="2"/>
        <v>0</v>
      </c>
      <c r="N10" s="65">
        <v>5264164</v>
      </c>
      <c r="O10" s="65">
        <v>15395602</v>
      </c>
      <c r="P10" s="65">
        <f t="shared" si="3"/>
        <v>20659766</v>
      </c>
      <c r="Q10" s="65">
        <v>18028</v>
      </c>
      <c r="R10" s="65">
        <v>131212</v>
      </c>
      <c r="S10" s="65">
        <f t="shared" si="4"/>
        <v>149240</v>
      </c>
      <c r="T10" s="65">
        <v>102329</v>
      </c>
      <c r="U10" s="65">
        <v>1042136</v>
      </c>
      <c r="V10" s="65">
        <f t="shared" si="5"/>
        <v>1144465</v>
      </c>
      <c r="W10" s="65"/>
      <c r="X10" s="65"/>
      <c r="Y10" s="65">
        <f t="shared" si="6"/>
        <v>0</v>
      </c>
      <c r="Z10" s="65"/>
      <c r="AA10" s="65"/>
      <c r="AB10" s="65">
        <f t="shared" si="7"/>
        <v>0</v>
      </c>
      <c r="AC10" s="65"/>
      <c r="AD10" s="65"/>
      <c r="AE10" s="65">
        <f t="shared" si="8"/>
        <v>0</v>
      </c>
      <c r="AF10" s="65">
        <v>5642472.6200000001</v>
      </c>
      <c r="AG10" s="65">
        <v>8119655.7199999997</v>
      </c>
      <c r="AH10" s="65">
        <f t="shared" si="9"/>
        <v>13762128.34</v>
      </c>
      <c r="AI10" s="65">
        <v>33476</v>
      </c>
      <c r="AJ10" s="65">
        <v>149681</v>
      </c>
      <c r="AK10" s="65">
        <f t="shared" si="10"/>
        <v>183157</v>
      </c>
      <c r="AL10" s="65">
        <v>645245</v>
      </c>
      <c r="AM10" s="65">
        <v>756999</v>
      </c>
      <c r="AN10" s="65">
        <f t="shared" si="11"/>
        <v>1402244</v>
      </c>
      <c r="AO10" s="65">
        <v>617217</v>
      </c>
      <c r="AP10" s="65">
        <v>2330397</v>
      </c>
      <c r="AQ10" s="65">
        <f t="shared" si="12"/>
        <v>2947614</v>
      </c>
      <c r="AR10" s="65">
        <v>4574069</v>
      </c>
      <c r="AS10" s="65">
        <v>15102624</v>
      </c>
      <c r="AT10" s="65">
        <f t="shared" si="13"/>
        <v>19676693</v>
      </c>
      <c r="AU10" s="65">
        <v>5572</v>
      </c>
      <c r="AV10" s="65">
        <v>21645</v>
      </c>
      <c r="AW10" s="65">
        <f t="shared" si="14"/>
        <v>27217</v>
      </c>
      <c r="AX10" s="65"/>
      <c r="AY10" s="65"/>
      <c r="AZ10" s="65">
        <f t="shared" si="15"/>
        <v>0</v>
      </c>
      <c r="BA10" s="65"/>
      <c r="BB10" s="65"/>
      <c r="BC10" s="65">
        <f t="shared" si="16"/>
        <v>0</v>
      </c>
      <c r="BD10" s="65"/>
      <c r="BE10" s="65"/>
      <c r="BF10" s="65">
        <f t="shared" si="17"/>
        <v>0</v>
      </c>
      <c r="BG10" s="65"/>
      <c r="BH10" s="65"/>
      <c r="BI10" s="65">
        <f t="shared" si="18"/>
        <v>0</v>
      </c>
      <c r="BJ10" s="65"/>
      <c r="BK10" s="65"/>
      <c r="BL10" s="65">
        <v>438992</v>
      </c>
      <c r="BM10" s="65">
        <v>77730225</v>
      </c>
      <c r="BN10" s="65">
        <v>158511704</v>
      </c>
      <c r="BO10" s="65">
        <f t="shared" si="19"/>
        <v>236241929</v>
      </c>
      <c r="BP10" s="65"/>
      <c r="BQ10" s="65"/>
      <c r="BR10" s="65">
        <v>80344024</v>
      </c>
      <c r="BS10" s="65"/>
      <c r="BT10" s="65"/>
      <c r="BU10" s="65">
        <f t="shared" si="20"/>
        <v>0</v>
      </c>
      <c r="BV10" s="65"/>
      <c r="BW10" s="65"/>
      <c r="BX10" s="65">
        <f t="shared" si="21"/>
        <v>0</v>
      </c>
      <c r="BY10" s="65"/>
      <c r="BZ10" s="65"/>
      <c r="CA10" s="65">
        <f t="shared" si="22"/>
        <v>0</v>
      </c>
      <c r="CB10" s="65"/>
      <c r="CC10" s="65"/>
      <c r="CD10" s="65">
        <v>17000</v>
      </c>
      <c r="CE10" s="65"/>
      <c r="CF10" s="65"/>
      <c r="CG10" s="65">
        <f t="shared" si="23"/>
        <v>0</v>
      </c>
      <c r="CH10" s="65">
        <v>1802769</v>
      </c>
      <c r="CI10" s="65"/>
      <c r="CJ10" s="65">
        <f t="shared" si="24"/>
        <v>1802769</v>
      </c>
      <c r="CK10" s="65">
        <v>705452</v>
      </c>
      <c r="CL10" s="65"/>
      <c r="CM10" s="65">
        <f t="shared" si="25"/>
        <v>705452</v>
      </c>
      <c r="CN10" s="65"/>
      <c r="CO10" s="65"/>
      <c r="CP10" s="65">
        <f t="shared" si="26"/>
        <v>0</v>
      </c>
      <c r="CQ10" s="65">
        <v>959585</v>
      </c>
      <c r="CR10" s="65">
        <v>4063270</v>
      </c>
      <c r="CS10" s="65">
        <f t="shared" si="27"/>
        <v>5022855</v>
      </c>
      <c r="CT10" s="65"/>
      <c r="CU10" s="65"/>
      <c r="CV10" s="65">
        <v>76459772</v>
      </c>
      <c r="CW10" s="65"/>
      <c r="CX10" s="65"/>
      <c r="CY10" s="65">
        <f t="shared" si="29"/>
        <v>0</v>
      </c>
    </row>
    <row r="11" spans="1:103" ht="15" customHeight="1" x14ac:dyDescent="0.25">
      <c r="A11" s="66" t="s">
        <v>200</v>
      </c>
      <c r="B11" s="65"/>
      <c r="C11" s="65"/>
      <c r="D11" s="65">
        <f t="shared" si="0"/>
        <v>0</v>
      </c>
      <c r="E11" s="65"/>
      <c r="F11" s="65"/>
      <c r="G11" s="65">
        <f t="shared" si="1"/>
        <v>0</v>
      </c>
      <c r="H11" s="65"/>
      <c r="I11" s="65"/>
      <c r="J11" s="65">
        <f t="shared" si="30"/>
        <v>0</v>
      </c>
      <c r="K11" s="65"/>
      <c r="L11" s="65"/>
      <c r="M11" s="65">
        <f t="shared" si="2"/>
        <v>0</v>
      </c>
      <c r="N11" s="65"/>
      <c r="O11" s="65">
        <v>732500</v>
      </c>
      <c r="P11" s="65">
        <f t="shared" si="3"/>
        <v>732500</v>
      </c>
      <c r="Q11" s="65"/>
      <c r="R11" s="65"/>
      <c r="S11" s="65">
        <f t="shared" si="4"/>
        <v>0</v>
      </c>
      <c r="T11" s="65"/>
      <c r="U11" s="65"/>
      <c r="V11" s="65">
        <f t="shared" si="5"/>
        <v>0</v>
      </c>
      <c r="W11" s="65"/>
      <c r="X11" s="65"/>
      <c r="Y11" s="65">
        <f t="shared" si="6"/>
        <v>0</v>
      </c>
      <c r="Z11" s="65"/>
      <c r="AA11" s="65"/>
      <c r="AB11" s="65">
        <f t="shared" si="7"/>
        <v>0</v>
      </c>
      <c r="AC11" s="65"/>
      <c r="AD11" s="65"/>
      <c r="AE11" s="65">
        <f t="shared" si="8"/>
        <v>0</v>
      </c>
      <c r="AF11" s="65"/>
      <c r="AG11" s="65"/>
      <c r="AH11" s="65">
        <f t="shared" si="9"/>
        <v>0</v>
      </c>
      <c r="AI11" s="65"/>
      <c r="AJ11" s="65"/>
      <c r="AK11" s="65">
        <f t="shared" si="10"/>
        <v>0</v>
      </c>
      <c r="AL11" s="65"/>
      <c r="AM11" s="65"/>
      <c r="AN11" s="65">
        <f t="shared" si="11"/>
        <v>0</v>
      </c>
      <c r="AO11" s="65">
        <v>10713</v>
      </c>
      <c r="AP11" s="65">
        <v>40451</v>
      </c>
      <c r="AQ11" s="65">
        <f t="shared" si="12"/>
        <v>51164</v>
      </c>
      <c r="AR11" s="65">
        <v>85686</v>
      </c>
      <c r="AS11" s="65">
        <v>282918</v>
      </c>
      <c r="AT11" s="65">
        <f t="shared" si="13"/>
        <v>368604</v>
      </c>
      <c r="AU11" s="65"/>
      <c r="AV11" s="65"/>
      <c r="AW11" s="65">
        <f t="shared" si="14"/>
        <v>0</v>
      </c>
      <c r="AX11" s="65"/>
      <c r="AY11" s="65"/>
      <c r="AZ11" s="65">
        <f t="shared" si="15"/>
        <v>0</v>
      </c>
      <c r="BA11" s="65"/>
      <c r="BB11" s="65"/>
      <c r="BC11" s="65">
        <f t="shared" si="16"/>
        <v>0</v>
      </c>
      <c r="BD11" s="65">
        <v>5772</v>
      </c>
      <c r="BE11" s="65">
        <v>31959</v>
      </c>
      <c r="BF11" s="65">
        <f t="shared" si="17"/>
        <v>37731</v>
      </c>
      <c r="BG11" s="65"/>
      <c r="BH11" s="65"/>
      <c r="BI11" s="65">
        <f t="shared" si="18"/>
        <v>0</v>
      </c>
      <c r="BJ11" s="65"/>
      <c r="BK11" s="65"/>
      <c r="BL11" s="65">
        <v>69</v>
      </c>
      <c r="BM11" s="65">
        <v>160</v>
      </c>
      <c r="BN11" s="65">
        <v>327</v>
      </c>
      <c r="BO11" s="65">
        <f t="shared" si="19"/>
        <v>487</v>
      </c>
      <c r="BP11" s="65"/>
      <c r="BQ11" s="65"/>
      <c r="BR11" s="65">
        <v>20638</v>
      </c>
      <c r="BS11" s="65"/>
      <c r="BT11" s="65"/>
      <c r="BU11" s="65">
        <f t="shared" si="20"/>
        <v>0</v>
      </c>
      <c r="BV11" s="65"/>
      <c r="BW11" s="65"/>
      <c r="BX11" s="65">
        <f t="shared" si="21"/>
        <v>0</v>
      </c>
      <c r="BY11" s="65"/>
      <c r="BZ11" s="65"/>
      <c r="CA11" s="65">
        <f t="shared" si="22"/>
        <v>0</v>
      </c>
      <c r="CB11" s="65"/>
      <c r="CC11" s="65"/>
      <c r="CD11" s="65">
        <f t="shared" si="33"/>
        <v>0</v>
      </c>
      <c r="CE11" s="65"/>
      <c r="CF11" s="65"/>
      <c r="CG11" s="65">
        <f t="shared" si="23"/>
        <v>0</v>
      </c>
      <c r="CH11" s="65"/>
      <c r="CI11" s="65"/>
      <c r="CJ11" s="65">
        <f t="shared" si="24"/>
        <v>0</v>
      </c>
      <c r="CK11" s="65"/>
      <c r="CL11" s="65"/>
      <c r="CM11" s="65">
        <f t="shared" si="25"/>
        <v>0</v>
      </c>
      <c r="CN11" s="65"/>
      <c r="CO11" s="65"/>
      <c r="CP11" s="65">
        <f t="shared" si="26"/>
        <v>0</v>
      </c>
      <c r="CQ11" s="65"/>
      <c r="CR11" s="65"/>
      <c r="CS11" s="65">
        <f t="shared" si="27"/>
        <v>0</v>
      </c>
      <c r="CT11" s="65"/>
      <c r="CU11" s="65"/>
      <c r="CV11" s="65">
        <f t="shared" si="28"/>
        <v>0</v>
      </c>
      <c r="CW11" s="65"/>
      <c r="CX11" s="65"/>
      <c r="CY11" s="65">
        <f t="shared" si="29"/>
        <v>0</v>
      </c>
    </row>
    <row r="12" spans="1:103" ht="15" customHeight="1" x14ac:dyDescent="0.25">
      <c r="A12" s="66" t="s">
        <v>201</v>
      </c>
      <c r="B12" s="65"/>
      <c r="C12" s="65"/>
      <c r="D12" s="65">
        <f t="shared" si="0"/>
        <v>0</v>
      </c>
      <c r="E12" s="65"/>
      <c r="F12" s="65"/>
      <c r="G12" s="65">
        <f t="shared" si="1"/>
        <v>0</v>
      </c>
      <c r="H12" s="65"/>
      <c r="I12" s="65"/>
      <c r="J12" s="65">
        <f t="shared" si="30"/>
        <v>0</v>
      </c>
      <c r="K12" s="65"/>
      <c r="L12" s="65"/>
      <c r="M12" s="65">
        <f t="shared" si="2"/>
        <v>0</v>
      </c>
      <c r="N12" s="65"/>
      <c r="O12" s="65"/>
      <c r="P12" s="65">
        <f t="shared" si="3"/>
        <v>0</v>
      </c>
      <c r="Q12" s="65"/>
      <c r="R12" s="65"/>
      <c r="S12" s="65">
        <f t="shared" si="4"/>
        <v>0</v>
      </c>
      <c r="T12" s="65"/>
      <c r="U12" s="65"/>
      <c r="V12" s="65">
        <f t="shared" si="5"/>
        <v>0</v>
      </c>
      <c r="W12" s="65"/>
      <c r="X12" s="65"/>
      <c r="Y12" s="65">
        <f t="shared" si="6"/>
        <v>0</v>
      </c>
      <c r="Z12" s="65"/>
      <c r="AA12" s="65"/>
      <c r="AB12" s="65">
        <f t="shared" si="7"/>
        <v>0</v>
      </c>
      <c r="AC12" s="65"/>
      <c r="AD12" s="65"/>
      <c r="AE12" s="65">
        <f t="shared" si="8"/>
        <v>0</v>
      </c>
      <c r="AF12" s="65"/>
      <c r="AG12" s="65"/>
      <c r="AH12" s="65">
        <f t="shared" si="9"/>
        <v>0</v>
      </c>
      <c r="AI12" s="65"/>
      <c r="AJ12" s="65"/>
      <c r="AK12" s="65">
        <f t="shared" si="10"/>
        <v>0</v>
      </c>
      <c r="AL12" s="65"/>
      <c r="AM12" s="65"/>
      <c r="AN12" s="65">
        <f t="shared" si="11"/>
        <v>0</v>
      </c>
      <c r="AO12" s="65"/>
      <c r="AP12" s="65"/>
      <c r="AQ12" s="65">
        <f t="shared" si="12"/>
        <v>0</v>
      </c>
      <c r="AR12" s="65"/>
      <c r="AS12" s="65"/>
      <c r="AT12" s="65">
        <f t="shared" si="13"/>
        <v>0</v>
      </c>
      <c r="AU12" s="65"/>
      <c r="AV12" s="65"/>
      <c r="AW12" s="65">
        <f t="shared" si="14"/>
        <v>0</v>
      </c>
      <c r="AX12" s="65"/>
      <c r="AY12" s="65"/>
      <c r="AZ12" s="65">
        <f t="shared" si="15"/>
        <v>0</v>
      </c>
      <c r="BA12" s="65"/>
      <c r="BB12" s="65"/>
      <c r="BC12" s="65">
        <f t="shared" si="16"/>
        <v>0</v>
      </c>
      <c r="BD12" s="65"/>
      <c r="BE12" s="65"/>
      <c r="BF12" s="65">
        <f t="shared" si="17"/>
        <v>0</v>
      </c>
      <c r="BG12" s="65"/>
      <c r="BH12" s="65"/>
      <c r="BI12" s="65">
        <f t="shared" si="18"/>
        <v>0</v>
      </c>
      <c r="BJ12" s="65"/>
      <c r="BK12" s="65"/>
      <c r="BL12" s="65">
        <f t="shared" si="31"/>
        <v>0</v>
      </c>
      <c r="BM12" s="65"/>
      <c r="BN12" s="65"/>
      <c r="BO12" s="65">
        <f t="shared" si="19"/>
        <v>0</v>
      </c>
      <c r="BP12" s="65"/>
      <c r="BQ12" s="65"/>
      <c r="BR12" s="65">
        <f t="shared" si="32"/>
        <v>0</v>
      </c>
      <c r="BS12" s="65"/>
      <c r="BT12" s="65"/>
      <c r="BU12" s="65">
        <f t="shared" si="20"/>
        <v>0</v>
      </c>
      <c r="BV12" s="65"/>
      <c r="BW12" s="65"/>
      <c r="BX12" s="65">
        <f t="shared" si="21"/>
        <v>0</v>
      </c>
      <c r="BY12" s="65"/>
      <c r="BZ12" s="65"/>
      <c r="CA12" s="65">
        <f t="shared" si="22"/>
        <v>0</v>
      </c>
      <c r="CB12" s="65"/>
      <c r="CC12" s="65"/>
      <c r="CD12" s="65">
        <f t="shared" si="33"/>
        <v>0</v>
      </c>
      <c r="CE12" s="65"/>
      <c r="CF12" s="65"/>
      <c r="CG12" s="65">
        <f t="shared" si="23"/>
        <v>0</v>
      </c>
      <c r="CH12" s="65"/>
      <c r="CI12" s="65"/>
      <c r="CJ12" s="65">
        <f t="shared" si="24"/>
        <v>0</v>
      </c>
      <c r="CK12" s="65"/>
      <c r="CL12" s="65"/>
      <c r="CM12" s="65">
        <f t="shared" si="25"/>
        <v>0</v>
      </c>
      <c r="CN12" s="65"/>
      <c r="CO12" s="65"/>
      <c r="CP12" s="65">
        <f t="shared" si="26"/>
        <v>0</v>
      </c>
      <c r="CQ12" s="65"/>
      <c r="CR12" s="65"/>
      <c r="CS12" s="65">
        <f t="shared" si="27"/>
        <v>0</v>
      </c>
      <c r="CT12" s="65"/>
      <c r="CU12" s="65"/>
      <c r="CV12" s="65">
        <f t="shared" si="28"/>
        <v>0</v>
      </c>
      <c r="CW12" s="65"/>
      <c r="CX12" s="65"/>
      <c r="CY12" s="65">
        <f t="shared" si="29"/>
        <v>0</v>
      </c>
    </row>
    <row r="13" spans="1:103" ht="15" customHeight="1" x14ac:dyDescent="0.25">
      <c r="A13" s="66" t="s">
        <v>202</v>
      </c>
      <c r="B13" s="65">
        <v>210119</v>
      </c>
      <c r="C13" s="65">
        <v>307161</v>
      </c>
      <c r="D13" s="65">
        <f t="shared" si="0"/>
        <v>517280</v>
      </c>
      <c r="E13" s="65">
        <v>102882</v>
      </c>
      <c r="F13" s="65">
        <v>604349</v>
      </c>
      <c r="G13" s="65">
        <f t="shared" si="1"/>
        <v>707231</v>
      </c>
      <c r="H13" s="65"/>
      <c r="I13" s="65"/>
      <c r="J13" s="65">
        <v>5565023</v>
      </c>
      <c r="K13" s="65">
        <v>100000</v>
      </c>
      <c r="L13" s="65">
        <v>2551421</v>
      </c>
      <c r="M13" s="65">
        <f t="shared" si="2"/>
        <v>2651421</v>
      </c>
      <c r="N13" s="65">
        <v>2101231</v>
      </c>
      <c r="O13" s="65">
        <v>12274853</v>
      </c>
      <c r="P13" s="65">
        <f t="shared" si="3"/>
        <v>14376084</v>
      </c>
      <c r="Q13" s="65">
        <v>763413</v>
      </c>
      <c r="R13" s="65">
        <v>5556230</v>
      </c>
      <c r="S13" s="65">
        <f t="shared" si="4"/>
        <v>6319643</v>
      </c>
      <c r="T13" s="65">
        <v>1067599</v>
      </c>
      <c r="U13" s="65">
        <v>10872595</v>
      </c>
      <c r="V13" s="65">
        <f t="shared" si="5"/>
        <v>11940194</v>
      </c>
      <c r="W13" s="65">
        <v>248675</v>
      </c>
      <c r="X13" s="65">
        <v>752459</v>
      </c>
      <c r="Y13" s="65">
        <f t="shared" si="6"/>
        <v>1001134</v>
      </c>
      <c r="Z13" s="65"/>
      <c r="AA13" s="65">
        <v>550542</v>
      </c>
      <c r="AB13" s="65">
        <f t="shared" si="7"/>
        <v>550542</v>
      </c>
      <c r="AC13" s="65">
        <v>200815</v>
      </c>
      <c r="AD13" s="65"/>
      <c r="AE13" s="65">
        <f t="shared" si="8"/>
        <v>200815</v>
      </c>
      <c r="AF13" s="65">
        <f>3078011.93+1047172.99</f>
        <v>4125184.92</v>
      </c>
      <c r="AG13" s="65">
        <f>4429334.23+1506907.48</f>
        <v>5936241.7100000009</v>
      </c>
      <c r="AH13" s="65">
        <f t="shared" si="9"/>
        <v>10061426.630000001</v>
      </c>
      <c r="AI13" s="65">
        <v>1401020</v>
      </c>
      <c r="AJ13" s="65">
        <v>6264348</v>
      </c>
      <c r="AK13" s="65">
        <f t="shared" si="10"/>
        <v>7665368</v>
      </c>
      <c r="AL13" s="65">
        <v>746902</v>
      </c>
      <c r="AM13" s="65">
        <v>1163761</v>
      </c>
      <c r="AN13" s="65">
        <f t="shared" si="11"/>
        <v>1910663</v>
      </c>
      <c r="AO13" s="65">
        <v>2824434</v>
      </c>
      <c r="AP13" s="65">
        <v>10664080</v>
      </c>
      <c r="AQ13" s="65">
        <f t="shared" si="12"/>
        <v>13488514</v>
      </c>
      <c r="AR13" s="65">
        <v>10072877</v>
      </c>
      <c r="AS13" s="65">
        <v>33258542</v>
      </c>
      <c r="AT13" s="65">
        <f t="shared" si="13"/>
        <v>43331419</v>
      </c>
      <c r="AU13" s="65">
        <v>2166611</v>
      </c>
      <c r="AV13" s="65">
        <v>8416681</v>
      </c>
      <c r="AW13" s="65">
        <f t="shared" si="14"/>
        <v>10583292</v>
      </c>
      <c r="AX13" s="65">
        <v>390216</v>
      </c>
      <c r="AY13" s="65">
        <v>864607</v>
      </c>
      <c r="AZ13" s="65">
        <f t="shared" si="15"/>
        <v>1254823</v>
      </c>
      <c r="BA13" s="65">
        <v>2162731</v>
      </c>
      <c r="BB13" s="65">
        <v>5100453</v>
      </c>
      <c r="BC13" s="65">
        <f t="shared" si="16"/>
        <v>7263184</v>
      </c>
      <c r="BD13" s="65">
        <v>603628</v>
      </c>
      <c r="BE13" s="65">
        <v>3342129</v>
      </c>
      <c r="BF13" s="65">
        <f t="shared" si="17"/>
        <v>3945757</v>
      </c>
      <c r="BG13" s="65">
        <v>551200</v>
      </c>
      <c r="BH13" s="65">
        <v>1708758</v>
      </c>
      <c r="BI13" s="65">
        <f t="shared" si="18"/>
        <v>2259958</v>
      </c>
      <c r="BJ13" s="65"/>
      <c r="BK13" s="65"/>
      <c r="BL13" s="65">
        <v>3007336</v>
      </c>
      <c r="BM13" s="65">
        <v>7839882</v>
      </c>
      <c r="BN13" s="65">
        <v>15881648</v>
      </c>
      <c r="BO13" s="65">
        <f t="shared" si="19"/>
        <v>23721530</v>
      </c>
      <c r="BP13" s="65"/>
      <c r="BQ13" s="65"/>
      <c r="BR13" s="65">
        <v>8415944</v>
      </c>
      <c r="BS13" s="65">
        <v>299146</v>
      </c>
      <c r="BT13" s="65">
        <v>508755</v>
      </c>
      <c r="BU13" s="65">
        <f t="shared" si="20"/>
        <v>807901</v>
      </c>
      <c r="BV13" s="65">
        <v>4871933</v>
      </c>
      <c r="BW13" s="65">
        <v>28890271</v>
      </c>
      <c r="BX13" s="65">
        <f t="shared" si="21"/>
        <v>33762204</v>
      </c>
      <c r="BY13" s="65"/>
      <c r="BZ13" s="65"/>
      <c r="CA13" s="65">
        <f t="shared" si="22"/>
        <v>0</v>
      </c>
      <c r="CB13" s="65"/>
      <c r="CC13" s="65"/>
      <c r="CD13" s="65">
        <v>1796745</v>
      </c>
      <c r="CE13" s="65">
        <v>2358719</v>
      </c>
      <c r="CF13" s="65">
        <v>9496675</v>
      </c>
      <c r="CG13" s="65">
        <f t="shared" si="23"/>
        <v>11855394</v>
      </c>
      <c r="CH13" s="65">
        <v>1712513</v>
      </c>
      <c r="CI13" s="65">
        <v>5754619</v>
      </c>
      <c r="CJ13" s="65">
        <f t="shared" si="24"/>
        <v>7467132</v>
      </c>
      <c r="CK13" s="65">
        <v>284378</v>
      </c>
      <c r="CL13" s="65">
        <v>3313482</v>
      </c>
      <c r="CM13" s="65">
        <f t="shared" si="25"/>
        <v>3597860</v>
      </c>
      <c r="CN13" s="65"/>
      <c r="CO13" s="65"/>
      <c r="CP13" s="65">
        <f t="shared" si="26"/>
        <v>0</v>
      </c>
      <c r="CQ13" s="65">
        <v>4681424</v>
      </c>
      <c r="CR13" s="65">
        <v>19823023</v>
      </c>
      <c r="CS13" s="65">
        <f t="shared" si="27"/>
        <v>24504447</v>
      </c>
      <c r="CT13" s="65"/>
      <c r="CU13" s="65"/>
      <c r="CV13" s="65">
        <v>18110690</v>
      </c>
      <c r="CW13" s="65">
        <v>1348230</v>
      </c>
      <c r="CX13" s="65">
        <v>4134975</v>
      </c>
      <c r="CY13" s="65">
        <f t="shared" si="29"/>
        <v>5483205</v>
      </c>
    </row>
    <row r="14" spans="1:103" ht="15" customHeight="1" x14ac:dyDescent="0.25">
      <c r="A14" s="66" t="s">
        <v>203</v>
      </c>
      <c r="B14" s="65"/>
      <c r="C14" s="65"/>
      <c r="D14" s="65">
        <f t="shared" si="0"/>
        <v>0</v>
      </c>
      <c r="E14" s="65"/>
      <c r="F14" s="65"/>
      <c r="G14" s="65">
        <f t="shared" si="1"/>
        <v>0</v>
      </c>
      <c r="H14" s="65"/>
      <c r="I14" s="65"/>
      <c r="J14" s="65">
        <f t="shared" si="30"/>
        <v>0</v>
      </c>
      <c r="K14" s="65"/>
      <c r="L14" s="65"/>
      <c r="M14" s="65">
        <f t="shared" si="2"/>
        <v>0</v>
      </c>
      <c r="N14" s="65"/>
      <c r="O14" s="65"/>
      <c r="P14" s="65">
        <f t="shared" si="3"/>
        <v>0</v>
      </c>
      <c r="Q14" s="65"/>
      <c r="R14" s="65"/>
      <c r="S14" s="65">
        <f t="shared" si="4"/>
        <v>0</v>
      </c>
      <c r="T14" s="65">
        <v>13412</v>
      </c>
      <c r="U14" s="65">
        <v>136588</v>
      </c>
      <c r="V14" s="65">
        <f t="shared" si="5"/>
        <v>150000</v>
      </c>
      <c r="W14" s="65"/>
      <c r="X14" s="65"/>
      <c r="Y14" s="65">
        <f t="shared" si="6"/>
        <v>0</v>
      </c>
      <c r="Z14" s="65"/>
      <c r="AA14" s="65"/>
      <c r="AB14" s="65">
        <f t="shared" si="7"/>
        <v>0</v>
      </c>
      <c r="AC14" s="65"/>
      <c r="AD14" s="65"/>
      <c r="AE14" s="65">
        <f t="shared" si="8"/>
        <v>0</v>
      </c>
      <c r="AF14" s="65"/>
      <c r="AG14" s="65"/>
      <c r="AH14" s="65">
        <f t="shared" si="9"/>
        <v>0</v>
      </c>
      <c r="AI14" s="65"/>
      <c r="AJ14" s="65"/>
      <c r="AK14" s="65">
        <f t="shared" si="10"/>
        <v>0</v>
      </c>
      <c r="AL14" s="65"/>
      <c r="AM14" s="65"/>
      <c r="AN14" s="65">
        <f t="shared" si="11"/>
        <v>0</v>
      </c>
      <c r="AO14" s="65">
        <v>95087</v>
      </c>
      <c r="AP14" s="65">
        <v>359013</v>
      </c>
      <c r="AQ14" s="65">
        <f t="shared" si="12"/>
        <v>454100</v>
      </c>
      <c r="AR14" s="65">
        <v>3791884</v>
      </c>
      <c r="AS14" s="65">
        <v>11768856</v>
      </c>
      <c r="AT14" s="65">
        <f>AS14+AR14</f>
        <v>15560740</v>
      </c>
      <c r="AU14" s="65"/>
      <c r="AV14" s="65"/>
      <c r="AW14" s="65">
        <f t="shared" si="14"/>
        <v>0</v>
      </c>
      <c r="AX14" s="65"/>
      <c r="AY14" s="65"/>
      <c r="AZ14" s="65">
        <f t="shared" si="15"/>
        <v>0</v>
      </c>
      <c r="BA14" s="65"/>
      <c r="BB14" s="65"/>
      <c r="BC14" s="65">
        <f t="shared" si="16"/>
        <v>0</v>
      </c>
      <c r="BD14" s="65">
        <v>30596</v>
      </c>
      <c r="BE14" s="65">
        <v>169404</v>
      </c>
      <c r="BF14" s="65">
        <f t="shared" si="17"/>
        <v>200000</v>
      </c>
      <c r="BG14" s="65"/>
      <c r="BH14" s="65"/>
      <c r="BI14" s="65">
        <f t="shared" si="18"/>
        <v>0</v>
      </c>
      <c r="BJ14" s="65"/>
      <c r="BK14" s="65"/>
      <c r="BL14" s="65">
        <v>725</v>
      </c>
      <c r="BM14" s="65"/>
      <c r="BN14" s="65"/>
      <c r="BO14" s="65">
        <f t="shared" si="19"/>
        <v>0</v>
      </c>
      <c r="BP14" s="65"/>
      <c r="BQ14" s="65"/>
      <c r="BR14" s="65">
        <v>457997</v>
      </c>
      <c r="BS14" s="65"/>
      <c r="BT14" s="65"/>
      <c r="BU14" s="65">
        <f t="shared" si="20"/>
        <v>0</v>
      </c>
      <c r="BV14" s="65">
        <v>108226</v>
      </c>
      <c r="BW14" s="65">
        <v>641774</v>
      </c>
      <c r="BX14" s="65">
        <f t="shared" si="21"/>
        <v>750000</v>
      </c>
      <c r="BY14" s="65"/>
      <c r="BZ14" s="65"/>
      <c r="CA14" s="65">
        <f t="shared" si="22"/>
        <v>0</v>
      </c>
      <c r="CB14" s="65"/>
      <c r="CC14" s="65"/>
      <c r="CD14" s="65">
        <f t="shared" si="33"/>
        <v>0</v>
      </c>
      <c r="CE14" s="65"/>
      <c r="CF14" s="65"/>
      <c r="CG14" s="65">
        <f t="shared" si="23"/>
        <v>0</v>
      </c>
      <c r="CH14" s="65">
        <f>83601+103636+19900</f>
        <v>207137</v>
      </c>
      <c r="CI14" s="65"/>
      <c r="CJ14" s="65">
        <f t="shared" si="24"/>
        <v>207137</v>
      </c>
      <c r="CK14" s="65"/>
      <c r="CL14" s="65"/>
      <c r="CM14" s="65">
        <f t="shared" si="25"/>
        <v>0</v>
      </c>
      <c r="CN14" s="65"/>
      <c r="CO14" s="65"/>
      <c r="CP14" s="65">
        <f t="shared" si="26"/>
        <v>0</v>
      </c>
      <c r="CQ14" s="65"/>
      <c r="CR14" s="65"/>
      <c r="CS14" s="65">
        <f t="shared" si="27"/>
        <v>0</v>
      </c>
      <c r="CT14" s="65"/>
      <c r="CU14" s="65"/>
      <c r="CV14" s="65">
        <f t="shared" si="28"/>
        <v>0</v>
      </c>
      <c r="CW14" s="65"/>
      <c r="CX14" s="65"/>
      <c r="CY14" s="65">
        <f t="shared" si="29"/>
        <v>0</v>
      </c>
    </row>
    <row r="15" spans="1:103" ht="15" customHeight="1" x14ac:dyDescent="0.25">
      <c r="A15" s="66" t="s">
        <v>204</v>
      </c>
      <c r="B15" s="65"/>
      <c r="C15" s="65"/>
      <c r="D15" s="65">
        <f t="shared" si="0"/>
        <v>0</v>
      </c>
      <c r="E15" s="65"/>
      <c r="F15" s="65"/>
      <c r="G15" s="65">
        <f t="shared" si="1"/>
        <v>0</v>
      </c>
      <c r="H15" s="65"/>
      <c r="I15" s="65"/>
      <c r="J15" s="65">
        <f t="shared" si="30"/>
        <v>0</v>
      </c>
      <c r="K15" s="65"/>
      <c r="L15" s="65"/>
      <c r="M15" s="65">
        <f t="shared" si="2"/>
        <v>0</v>
      </c>
      <c r="N15" s="65"/>
      <c r="O15" s="65"/>
      <c r="P15" s="65">
        <f t="shared" si="3"/>
        <v>0</v>
      </c>
      <c r="Q15" s="65"/>
      <c r="R15" s="65"/>
      <c r="S15" s="65">
        <f t="shared" si="4"/>
        <v>0</v>
      </c>
      <c r="T15" s="65"/>
      <c r="U15" s="65"/>
      <c r="V15" s="65">
        <f t="shared" si="5"/>
        <v>0</v>
      </c>
      <c r="W15" s="65"/>
      <c r="X15" s="65"/>
      <c r="Y15" s="65">
        <f t="shared" si="6"/>
        <v>0</v>
      </c>
      <c r="Z15" s="65"/>
      <c r="AA15" s="65"/>
      <c r="AB15" s="65">
        <f t="shared" si="7"/>
        <v>0</v>
      </c>
      <c r="AC15" s="65"/>
      <c r="AD15" s="65"/>
      <c r="AE15" s="65">
        <f t="shared" si="8"/>
        <v>0</v>
      </c>
      <c r="AF15" s="65"/>
      <c r="AG15" s="65"/>
      <c r="AH15" s="65">
        <f t="shared" si="9"/>
        <v>0</v>
      </c>
      <c r="AI15" s="65"/>
      <c r="AJ15" s="65"/>
      <c r="AK15" s="65">
        <f t="shared" si="10"/>
        <v>0</v>
      </c>
      <c r="AL15" s="65"/>
      <c r="AM15" s="65"/>
      <c r="AN15" s="65">
        <f t="shared" si="11"/>
        <v>0</v>
      </c>
      <c r="AO15" s="65"/>
      <c r="AP15" s="65"/>
      <c r="AQ15" s="65">
        <f t="shared" si="12"/>
        <v>0</v>
      </c>
      <c r="AR15" s="65"/>
      <c r="AS15" s="65"/>
      <c r="AT15" s="65">
        <f t="shared" si="13"/>
        <v>0</v>
      </c>
      <c r="AU15" s="65">
        <v>308506</v>
      </c>
      <c r="AV15" s="65">
        <v>1198459</v>
      </c>
      <c r="AW15" s="65">
        <f t="shared" si="14"/>
        <v>1506965</v>
      </c>
      <c r="AX15" s="65"/>
      <c r="AY15" s="65"/>
      <c r="AZ15" s="65">
        <f t="shared" si="15"/>
        <v>0</v>
      </c>
      <c r="BA15" s="65"/>
      <c r="BB15" s="65"/>
      <c r="BC15" s="65">
        <f t="shared" si="16"/>
        <v>0</v>
      </c>
      <c r="BD15" s="65"/>
      <c r="BE15" s="65"/>
      <c r="BF15" s="65">
        <f t="shared" si="17"/>
        <v>0</v>
      </c>
      <c r="BG15" s="65"/>
      <c r="BH15" s="65"/>
      <c r="BI15" s="65">
        <f t="shared" si="18"/>
        <v>0</v>
      </c>
      <c r="BJ15" s="65"/>
      <c r="BK15" s="65"/>
      <c r="BL15" s="65">
        <f t="shared" si="31"/>
        <v>0</v>
      </c>
      <c r="BM15" s="65"/>
      <c r="BN15" s="65"/>
      <c r="BO15" s="65">
        <f t="shared" si="19"/>
        <v>0</v>
      </c>
      <c r="BP15" s="65"/>
      <c r="BQ15" s="65"/>
      <c r="BR15" s="65">
        <f t="shared" si="32"/>
        <v>0</v>
      </c>
      <c r="BS15" s="65"/>
      <c r="BT15" s="65"/>
      <c r="BU15" s="65">
        <f t="shared" si="20"/>
        <v>0</v>
      </c>
      <c r="BV15" s="65"/>
      <c r="BW15" s="65"/>
      <c r="BX15" s="65">
        <f t="shared" si="21"/>
        <v>0</v>
      </c>
      <c r="BY15" s="65"/>
      <c r="BZ15" s="65"/>
      <c r="CA15" s="65">
        <f t="shared" si="22"/>
        <v>0</v>
      </c>
      <c r="CB15" s="65"/>
      <c r="CC15" s="65"/>
      <c r="CD15" s="65">
        <f t="shared" si="33"/>
        <v>0</v>
      </c>
      <c r="CE15" s="65"/>
      <c r="CF15" s="65"/>
      <c r="CG15" s="65">
        <f t="shared" si="23"/>
        <v>0</v>
      </c>
      <c r="CH15" s="65"/>
      <c r="CI15" s="65"/>
      <c r="CJ15" s="65">
        <f t="shared" si="24"/>
        <v>0</v>
      </c>
      <c r="CK15" s="65"/>
      <c r="CL15" s="65"/>
      <c r="CM15" s="65">
        <f t="shared" si="25"/>
        <v>0</v>
      </c>
      <c r="CN15" s="65"/>
      <c r="CO15" s="65"/>
      <c r="CP15" s="65">
        <f t="shared" si="26"/>
        <v>0</v>
      </c>
      <c r="CQ15" s="65"/>
      <c r="CR15" s="65"/>
      <c r="CS15" s="65">
        <f t="shared" si="27"/>
        <v>0</v>
      </c>
      <c r="CT15" s="65"/>
      <c r="CU15" s="65"/>
      <c r="CV15" s="65">
        <f t="shared" si="28"/>
        <v>0</v>
      </c>
      <c r="CW15" s="65"/>
      <c r="CX15" s="65"/>
      <c r="CY15" s="65">
        <f t="shared" si="29"/>
        <v>0</v>
      </c>
    </row>
    <row r="16" spans="1:103" ht="15" customHeight="1" x14ac:dyDescent="0.25">
      <c r="A16" s="66" t="s">
        <v>205</v>
      </c>
      <c r="B16" s="65"/>
      <c r="C16" s="65"/>
      <c r="D16" s="65">
        <f t="shared" si="0"/>
        <v>0</v>
      </c>
      <c r="E16" s="65"/>
      <c r="F16" s="65"/>
      <c r="G16" s="65">
        <f t="shared" si="1"/>
        <v>0</v>
      </c>
      <c r="H16" s="65"/>
      <c r="I16" s="65"/>
      <c r="J16" s="65">
        <f t="shared" si="30"/>
        <v>0</v>
      </c>
      <c r="K16" s="65"/>
      <c r="L16" s="65"/>
      <c r="M16" s="65">
        <f t="shared" si="2"/>
        <v>0</v>
      </c>
      <c r="N16" s="65"/>
      <c r="O16" s="65"/>
      <c r="P16" s="65">
        <f t="shared" si="3"/>
        <v>0</v>
      </c>
      <c r="Q16" s="65"/>
      <c r="R16" s="65"/>
      <c r="S16" s="65">
        <f t="shared" si="4"/>
        <v>0</v>
      </c>
      <c r="T16" s="65"/>
      <c r="U16" s="65"/>
      <c r="V16" s="65">
        <f t="shared" si="5"/>
        <v>0</v>
      </c>
      <c r="W16" s="65"/>
      <c r="X16" s="65"/>
      <c r="Y16" s="65">
        <f t="shared" si="6"/>
        <v>0</v>
      </c>
      <c r="Z16" s="65"/>
      <c r="AA16" s="65"/>
      <c r="AB16" s="65">
        <f t="shared" si="7"/>
        <v>0</v>
      </c>
      <c r="AC16" s="65"/>
      <c r="AD16" s="65"/>
      <c r="AE16" s="65">
        <f t="shared" si="8"/>
        <v>0</v>
      </c>
      <c r="AF16" s="65"/>
      <c r="AG16" s="65"/>
      <c r="AH16" s="65">
        <f t="shared" si="9"/>
        <v>0</v>
      </c>
      <c r="AI16" s="65"/>
      <c r="AJ16" s="65"/>
      <c r="AK16" s="65">
        <f t="shared" si="10"/>
        <v>0</v>
      </c>
      <c r="AL16" s="65"/>
      <c r="AM16" s="65"/>
      <c r="AN16" s="65">
        <f t="shared" si="11"/>
        <v>0</v>
      </c>
      <c r="AO16" s="65"/>
      <c r="AP16" s="65"/>
      <c r="AQ16" s="65">
        <f t="shared" si="12"/>
        <v>0</v>
      </c>
      <c r="AR16" s="65"/>
      <c r="AS16" s="65"/>
      <c r="AT16" s="65">
        <f t="shared" si="13"/>
        <v>0</v>
      </c>
      <c r="AU16" s="65">
        <v>1024</v>
      </c>
      <c r="AV16" s="65">
        <v>3976</v>
      </c>
      <c r="AW16" s="65">
        <f t="shared" si="14"/>
        <v>5000</v>
      </c>
      <c r="AX16" s="65"/>
      <c r="AY16" s="65"/>
      <c r="AZ16" s="65">
        <f t="shared" si="15"/>
        <v>0</v>
      </c>
      <c r="BA16" s="65"/>
      <c r="BB16" s="65"/>
      <c r="BC16" s="65">
        <f t="shared" si="16"/>
        <v>0</v>
      </c>
      <c r="BD16" s="65"/>
      <c r="BE16" s="65"/>
      <c r="BF16" s="65">
        <f t="shared" si="17"/>
        <v>0</v>
      </c>
      <c r="BG16" s="65"/>
      <c r="BH16" s="65"/>
      <c r="BI16" s="65">
        <f t="shared" si="18"/>
        <v>0</v>
      </c>
      <c r="BJ16" s="65"/>
      <c r="BK16" s="65"/>
      <c r="BL16" s="65">
        <f t="shared" si="31"/>
        <v>0</v>
      </c>
      <c r="BM16" s="65">
        <v>449118</v>
      </c>
      <c r="BN16" s="65"/>
      <c r="BO16" s="65">
        <f t="shared" si="19"/>
        <v>449118</v>
      </c>
      <c r="BP16" s="65"/>
      <c r="BQ16" s="65"/>
      <c r="BR16" s="65">
        <v>500</v>
      </c>
      <c r="BS16" s="65"/>
      <c r="BT16" s="65"/>
      <c r="BU16" s="65">
        <f t="shared" si="20"/>
        <v>0</v>
      </c>
      <c r="BV16" s="65"/>
      <c r="BW16" s="65"/>
      <c r="BX16" s="65">
        <f t="shared" si="21"/>
        <v>0</v>
      </c>
      <c r="BY16" s="65"/>
      <c r="BZ16" s="65"/>
      <c r="CA16" s="65">
        <f t="shared" si="22"/>
        <v>0</v>
      </c>
      <c r="CB16" s="65"/>
      <c r="CC16" s="65"/>
      <c r="CD16" s="65">
        <f t="shared" si="33"/>
        <v>0</v>
      </c>
      <c r="CE16" s="65"/>
      <c r="CF16" s="65"/>
      <c r="CG16" s="65">
        <f t="shared" si="23"/>
        <v>0</v>
      </c>
      <c r="CH16" s="65"/>
      <c r="CI16" s="65"/>
      <c r="CJ16" s="65">
        <f t="shared" si="24"/>
        <v>0</v>
      </c>
      <c r="CK16" s="65">
        <v>731641</v>
      </c>
      <c r="CL16" s="65"/>
      <c r="CM16" s="65">
        <f t="shared" si="25"/>
        <v>731641</v>
      </c>
      <c r="CN16" s="65"/>
      <c r="CO16" s="65"/>
      <c r="CP16" s="65">
        <f t="shared" si="26"/>
        <v>0</v>
      </c>
      <c r="CQ16" s="65"/>
      <c r="CR16" s="65"/>
      <c r="CS16" s="65">
        <f t="shared" si="27"/>
        <v>0</v>
      </c>
      <c r="CT16" s="65"/>
      <c r="CU16" s="65"/>
      <c r="CV16" s="65">
        <f t="shared" si="28"/>
        <v>0</v>
      </c>
      <c r="CW16" s="65"/>
      <c r="CX16" s="65"/>
      <c r="CY16" s="65">
        <f t="shared" si="29"/>
        <v>0</v>
      </c>
    </row>
    <row r="17" spans="1:103" ht="15" customHeight="1" x14ac:dyDescent="0.25">
      <c r="A17" s="66" t="s">
        <v>206</v>
      </c>
      <c r="B17" s="65"/>
      <c r="C17" s="65"/>
      <c r="D17" s="65">
        <f t="shared" si="0"/>
        <v>0</v>
      </c>
      <c r="E17" s="65"/>
      <c r="F17" s="65"/>
      <c r="G17" s="65">
        <f t="shared" si="1"/>
        <v>0</v>
      </c>
      <c r="H17" s="65"/>
      <c r="I17" s="65"/>
      <c r="J17" s="65">
        <f t="shared" si="30"/>
        <v>0</v>
      </c>
      <c r="K17" s="65"/>
      <c r="L17" s="65"/>
      <c r="M17" s="65">
        <f t="shared" si="2"/>
        <v>0</v>
      </c>
      <c r="N17" s="65"/>
      <c r="O17" s="65"/>
      <c r="P17" s="65">
        <f t="shared" si="3"/>
        <v>0</v>
      </c>
      <c r="Q17" s="65">
        <v>92027</v>
      </c>
      <c r="R17" s="65">
        <v>669782</v>
      </c>
      <c r="S17" s="65">
        <f t="shared" si="4"/>
        <v>761809</v>
      </c>
      <c r="T17" s="65">
        <v>25773</v>
      </c>
      <c r="U17" s="65">
        <v>262478</v>
      </c>
      <c r="V17" s="65">
        <f t="shared" si="5"/>
        <v>288251</v>
      </c>
      <c r="W17" s="65"/>
      <c r="X17" s="65"/>
      <c r="Y17" s="65">
        <f t="shared" si="6"/>
        <v>0</v>
      </c>
      <c r="Z17" s="65"/>
      <c r="AA17" s="65"/>
      <c r="AB17" s="65">
        <f t="shared" si="7"/>
        <v>0</v>
      </c>
      <c r="AC17" s="65"/>
      <c r="AD17" s="65"/>
      <c r="AE17" s="65">
        <f t="shared" si="8"/>
        <v>0</v>
      </c>
      <c r="AF17" s="65"/>
      <c r="AG17" s="65"/>
      <c r="AH17" s="65">
        <f t="shared" si="9"/>
        <v>0</v>
      </c>
      <c r="AI17" s="65"/>
      <c r="AJ17" s="65"/>
      <c r="AK17" s="65">
        <f t="shared" si="10"/>
        <v>0</v>
      </c>
      <c r="AL17" s="65"/>
      <c r="AM17" s="65"/>
      <c r="AN17" s="65">
        <f t="shared" si="11"/>
        <v>0</v>
      </c>
      <c r="AO17" s="65"/>
      <c r="AP17" s="65"/>
      <c r="AQ17" s="65">
        <f t="shared" si="12"/>
        <v>0</v>
      </c>
      <c r="AR17" s="65">
        <v>250917</v>
      </c>
      <c r="AS17" s="65">
        <v>828475</v>
      </c>
      <c r="AT17" s="65">
        <f t="shared" si="13"/>
        <v>1079392</v>
      </c>
      <c r="AU17" s="65"/>
      <c r="AV17" s="65"/>
      <c r="AW17" s="65">
        <f t="shared" si="14"/>
        <v>0</v>
      </c>
      <c r="AX17" s="65"/>
      <c r="AY17" s="65"/>
      <c r="AZ17" s="65">
        <f t="shared" si="15"/>
        <v>0</v>
      </c>
      <c r="BA17" s="65"/>
      <c r="BB17" s="65"/>
      <c r="BC17" s="65">
        <f t="shared" si="16"/>
        <v>0</v>
      </c>
      <c r="BD17" s="65"/>
      <c r="BE17" s="65"/>
      <c r="BF17" s="65">
        <f t="shared" si="17"/>
        <v>0</v>
      </c>
      <c r="BG17" s="65"/>
      <c r="BH17" s="65"/>
      <c r="BI17" s="65">
        <f t="shared" si="18"/>
        <v>0</v>
      </c>
      <c r="BJ17" s="65"/>
      <c r="BK17" s="65"/>
      <c r="BL17" s="65">
        <v>2617</v>
      </c>
      <c r="BM17" s="65"/>
      <c r="BN17" s="65"/>
      <c r="BO17" s="65">
        <f t="shared" si="19"/>
        <v>0</v>
      </c>
      <c r="BP17" s="65"/>
      <c r="BQ17" s="65"/>
      <c r="BR17" s="65">
        <f t="shared" si="32"/>
        <v>0</v>
      </c>
      <c r="BS17" s="65"/>
      <c r="BT17" s="65"/>
      <c r="BU17" s="65">
        <f t="shared" si="20"/>
        <v>0</v>
      </c>
      <c r="BV17" s="65"/>
      <c r="BW17" s="65"/>
      <c r="BX17" s="65">
        <f t="shared" si="21"/>
        <v>0</v>
      </c>
      <c r="BY17" s="65"/>
      <c r="BZ17" s="65"/>
      <c r="CA17" s="65">
        <f t="shared" si="22"/>
        <v>0</v>
      </c>
      <c r="CB17" s="65"/>
      <c r="CC17" s="65"/>
      <c r="CD17" s="65">
        <f t="shared" si="33"/>
        <v>0</v>
      </c>
      <c r="CE17" s="65"/>
      <c r="CF17" s="65"/>
      <c r="CG17" s="65">
        <f t="shared" si="23"/>
        <v>0</v>
      </c>
      <c r="CH17" s="65"/>
      <c r="CI17" s="65"/>
      <c r="CJ17" s="65">
        <f t="shared" si="24"/>
        <v>0</v>
      </c>
      <c r="CK17" s="65"/>
      <c r="CL17" s="65"/>
      <c r="CM17" s="65">
        <f t="shared" si="25"/>
        <v>0</v>
      </c>
      <c r="CN17" s="65">
        <v>26668</v>
      </c>
      <c r="CO17" s="65">
        <v>42331</v>
      </c>
      <c r="CP17" s="65">
        <f t="shared" si="26"/>
        <v>68999</v>
      </c>
      <c r="CQ17" s="65">
        <v>103285</v>
      </c>
      <c r="CR17" s="65">
        <v>437348</v>
      </c>
      <c r="CS17" s="65">
        <f t="shared" si="27"/>
        <v>540633</v>
      </c>
      <c r="CT17" s="65"/>
      <c r="CU17" s="65"/>
      <c r="CV17" s="65">
        <f t="shared" si="28"/>
        <v>0</v>
      </c>
      <c r="CW17" s="65"/>
      <c r="CX17" s="65"/>
      <c r="CY17" s="65">
        <f t="shared" si="29"/>
        <v>0</v>
      </c>
    </row>
    <row r="18" spans="1:103" ht="15" customHeight="1" x14ac:dyDescent="0.25">
      <c r="A18" s="66" t="s">
        <v>207</v>
      </c>
      <c r="B18" s="65">
        <v>513272</v>
      </c>
      <c r="C18" s="65">
        <v>750323</v>
      </c>
      <c r="D18" s="65">
        <f t="shared" si="0"/>
        <v>1263595</v>
      </c>
      <c r="E18" s="65">
        <f>99609+50571</f>
        <v>150180</v>
      </c>
      <c r="F18" s="65">
        <f>557048+605312</f>
        <v>1162360</v>
      </c>
      <c r="G18" s="65">
        <f t="shared" si="1"/>
        <v>1312540</v>
      </c>
      <c r="H18" s="65"/>
      <c r="I18" s="65"/>
      <c r="J18" s="65">
        <v>6208206</v>
      </c>
      <c r="K18" s="65">
        <v>200000</v>
      </c>
      <c r="L18" s="65">
        <v>2585225</v>
      </c>
      <c r="M18" s="65">
        <f t="shared" si="2"/>
        <v>2785225</v>
      </c>
      <c r="N18" s="65">
        <v>8323727</v>
      </c>
      <c r="O18" s="65">
        <v>38312215</v>
      </c>
      <c r="P18" s="65">
        <f t="shared" si="3"/>
        <v>46635942</v>
      </c>
      <c r="Q18" s="65">
        <v>1785693</v>
      </c>
      <c r="R18" s="65">
        <v>12996533</v>
      </c>
      <c r="S18" s="65">
        <f t="shared" si="4"/>
        <v>14782226</v>
      </c>
      <c r="T18" s="65">
        <v>1001086</v>
      </c>
      <c r="U18" s="65">
        <v>10195221</v>
      </c>
      <c r="V18" s="65">
        <f t="shared" si="5"/>
        <v>11196307</v>
      </c>
      <c r="W18" s="65">
        <v>399510</v>
      </c>
      <c r="X18" s="65">
        <v>607279</v>
      </c>
      <c r="Y18" s="65">
        <f t="shared" si="6"/>
        <v>1006789</v>
      </c>
      <c r="Z18" s="65">
        <v>49963</v>
      </c>
      <c r="AA18" s="65">
        <v>353292</v>
      </c>
      <c r="AB18" s="65">
        <f t="shared" si="7"/>
        <v>403255</v>
      </c>
      <c r="AC18" s="65">
        <v>579318</v>
      </c>
      <c r="AD18" s="65">
        <v>49494</v>
      </c>
      <c r="AE18" s="65">
        <f t="shared" si="8"/>
        <v>628812</v>
      </c>
      <c r="AF18" s="65">
        <v>12535016.01</v>
      </c>
      <c r="AG18" s="65">
        <v>18038193.77</v>
      </c>
      <c r="AH18" s="65">
        <f t="shared" si="9"/>
        <v>30573209.780000001</v>
      </c>
      <c r="AI18" s="65">
        <v>2633509</v>
      </c>
      <c r="AJ18" s="65">
        <v>11775147</v>
      </c>
      <c r="AK18" s="65">
        <f t="shared" si="10"/>
        <v>14408656</v>
      </c>
      <c r="AL18" s="65">
        <v>2671690</v>
      </c>
      <c r="AM18" s="65">
        <v>2311357</v>
      </c>
      <c r="AN18" s="65">
        <f t="shared" si="11"/>
        <v>4983047</v>
      </c>
      <c r="AO18" s="65">
        <v>5958252</v>
      </c>
      <c r="AP18" s="65">
        <v>22496282</v>
      </c>
      <c r="AQ18" s="65">
        <f t="shared" si="12"/>
        <v>28454534</v>
      </c>
      <c r="AR18" s="65">
        <v>15200509</v>
      </c>
      <c r="AS18" s="65">
        <v>50188916</v>
      </c>
      <c r="AT18" s="65">
        <f>AS18+AR18</f>
        <v>65389425</v>
      </c>
      <c r="AU18" s="65">
        <v>5867427</v>
      </c>
      <c r="AV18" s="65">
        <v>22793320</v>
      </c>
      <c r="AW18" s="65">
        <f t="shared" si="14"/>
        <v>28660747</v>
      </c>
      <c r="AX18" s="65">
        <v>473760</v>
      </c>
      <c r="AY18" s="65">
        <v>1049717</v>
      </c>
      <c r="AZ18" s="65">
        <f t="shared" si="15"/>
        <v>1523477</v>
      </c>
      <c r="BA18" s="65">
        <v>1194743</v>
      </c>
      <c r="BB18" s="65">
        <v>2817609</v>
      </c>
      <c r="BC18" s="65">
        <f t="shared" si="16"/>
        <v>4012352</v>
      </c>
      <c r="BD18" s="65">
        <v>835013</v>
      </c>
      <c r="BE18" s="65">
        <v>4623248</v>
      </c>
      <c r="BF18" s="65">
        <f t="shared" si="17"/>
        <v>5458261</v>
      </c>
      <c r="BG18" s="65">
        <v>646960</v>
      </c>
      <c r="BH18" s="65">
        <v>654748</v>
      </c>
      <c r="BI18" s="65">
        <f t="shared" si="18"/>
        <v>1301708</v>
      </c>
      <c r="BJ18" s="65"/>
      <c r="BK18" s="65"/>
      <c r="BL18" s="65">
        <v>253512</v>
      </c>
      <c r="BM18" s="65">
        <v>15704789</v>
      </c>
      <c r="BN18" s="65">
        <v>32055390</v>
      </c>
      <c r="BO18" s="65">
        <f t="shared" si="19"/>
        <v>47760179</v>
      </c>
      <c r="BP18" s="65"/>
      <c r="BQ18" s="65"/>
      <c r="BR18" s="65">
        <v>29007949</v>
      </c>
      <c r="BS18" s="65">
        <v>262499</v>
      </c>
      <c r="BT18" s="65">
        <v>446429</v>
      </c>
      <c r="BU18" s="65">
        <f t="shared" si="20"/>
        <v>708928</v>
      </c>
      <c r="BV18" s="65">
        <v>1378070</v>
      </c>
      <c r="BW18" s="65">
        <v>8171871</v>
      </c>
      <c r="BX18" s="65">
        <f t="shared" si="21"/>
        <v>9549941</v>
      </c>
      <c r="BY18" s="65"/>
      <c r="BZ18" s="65"/>
      <c r="CA18" s="65">
        <f t="shared" si="22"/>
        <v>0</v>
      </c>
      <c r="CB18" s="65"/>
      <c r="CC18" s="65"/>
      <c r="CD18" s="65">
        <f>4549681+852555</f>
        <v>5402236</v>
      </c>
      <c r="CE18" s="65">
        <v>1784691</v>
      </c>
      <c r="CF18" s="65">
        <v>7185525</v>
      </c>
      <c r="CG18" s="65">
        <f t="shared" si="23"/>
        <v>8970216</v>
      </c>
      <c r="CH18" s="65">
        <f>5774002-99075</f>
        <v>5674927</v>
      </c>
      <c r="CI18" s="65">
        <f>14231925-49883</f>
        <v>14182042</v>
      </c>
      <c r="CJ18" s="65">
        <f t="shared" si="24"/>
        <v>19856969</v>
      </c>
      <c r="CK18" s="65">
        <v>6471637</v>
      </c>
      <c r="CL18" s="65">
        <v>35259163</v>
      </c>
      <c r="CM18" s="65">
        <f t="shared" si="25"/>
        <v>41730800</v>
      </c>
      <c r="CN18" s="65">
        <v>4614863</v>
      </c>
      <c r="CO18" s="65">
        <v>7325275</v>
      </c>
      <c r="CP18" s="65">
        <f t="shared" si="26"/>
        <v>11940138</v>
      </c>
      <c r="CQ18" s="65">
        <v>5071416</v>
      </c>
      <c r="CR18" s="65">
        <v>21474409</v>
      </c>
      <c r="CS18" s="65">
        <f t="shared" si="27"/>
        <v>26545825</v>
      </c>
      <c r="CT18" s="65"/>
      <c r="CU18" s="65"/>
      <c r="CV18" s="65">
        <v>49533657</v>
      </c>
      <c r="CW18" s="65">
        <v>1799813</v>
      </c>
      <c r="CX18" s="65">
        <v>5519966</v>
      </c>
      <c r="CY18" s="65">
        <f t="shared" si="29"/>
        <v>7319779</v>
      </c>
    </row>
    <row r="19" spans="1:103" ht="15" customHeight="1" x14ac:dyDescent="0.25">
      <c r="A19" s="66" t="s">
        <v>208</v>
      </c>
      <c r="B19" s="65"/>
      <c r="C19" s="65"/>
      <c r="D19" s="65">
        <f t="shared" si="0"/>
        <v>0</v>
      </c>
      <c r="E19" s="65"/>
      <c r="F19" s="65">
        <v>349812</v>
      </c>
      <c r="G19" s="65">
        <f t="shared" si="1"/>
        <v>349812</v>
      </c>
      <c r="H19" s="65"/>
      <c r="I19" s="65"/>
      <c r="J19" s="65">
        <f t="shared" si="30"/>
        <v>0</v>
      </c>
      <c r="K19" s="65"/>
      <c r="L19" s="65">
        <f>379619+200000</f>
        <v>579619</v>
      </c>
      <c r="M19" s="65">
        <f t="shared" si="2"/>
        <v>579619</v>
      </c>
      <c r="N19" s="65"/>
      <c r="O19" s="65"/>
      <c r="P19" s="65">
        <f t="shared" si="3"/>
        <v>0</v>
      </c>
      <c r="Q19" s="65">
        <f>222537-12080</f>
        <v>210457</v>
      </c>
      <c r="R19" s="65">
        <f>1619654-87920</f>
        <v>1531734</v>
      </c>
      <c r="S19" s="65">
        <f t="shared" si="4"/>
        <v>1742191</v>
      </c>
      <c r="T19" s="65">
        <f>317654+4045</f>
        <v>321699</v>
      </c>
      <c r="U19" s="65">
        <f>3235047+41193</f>
        <v>3276240</v>
      </c>
      <c r="V19" s="65">
        <f t="shared" si="5"/>
        <v>3597939</v>
      </c>
      <c r="W19" s="65">
        <v>50000</v>
      </c>
      <c r="X19" s="65">
        <v>150268</v>
      </c>
      <c r="Y19" s="65">
        <f t="shared" si="6"/>
        <v>200268</v>
      </c>
      <c r="Z19" s="65">
        <v>49974</v>
      </c>
      <c r="AA19" s="65">
        <v>100155</v>
      </c>
      <c r="AB19" s="65">
        <f t="shared" si="7"/>
        <v>150129</v>
      </c>
      <c r="AC19" s="65">
        <v>152628</v>
      </c>
      <c r="AD19" s="65"/>
      <c r="AE19" s="65">
        <f t="shared" si="8"/>
        <v>152628</v>
      </c>
      <c r="AF19" s="65">
        <v>804267.66</v>
      </c>
      <c r="AG19" s="65">
        <v>1157360.77</v>
      </c>
      <c r="AH19" s="65">
        <f t="shared" si="9"/>
        <v>1961628.4300000002</v>
      </c>
      <c r="AI19" s="65">
        <f>-6626+174197</f>
        <v>167571</v>
      </c>
      <c r="AJ19" s="65">
        <f>-29624+778884</f>
        <v>749260</v>
      </c>
      <c r="AK19" s="65">
        <f t="shared" si="10"/>
        <v>916831</v>
      </c>
      <c r="AL19" s="65"/>
      <c r="AM19" s="65"/>
      <c r="AN19" s="65">
        <f t="shared" si="11"/>
        <v>0</v>
      </c>
      <c r="AO19" s="65">
        <f>61265+17097+20940</f>
        <v>99302</v>
      </c>
      <c r="AP19" s="65">
        <f>231314+64552+79060</f>
        <v>374926</v>
      </c>
      <c r="AQ19" s="65">
        <f t="shared" si="12"/>
        <v>474228</v>
      </c>
      <c r="AR19" s="65"/>
      <c r="AS19" s="65"/>
      <c r="AT19" s="65">
        <f t="shared" si="13"/>
        <v>0</v>
      </c>
      <c r="AU19" s="65">
        <f>3706+248206-63463</f>
        <v>188449</v>
      </c>
      <c r="AV19" s="65">
        <f>14396+964210-246537</f>
        <v>732069</v>
      </c>
      <c r="AW19" s="65">
        <f t="shared" si="14"/>
        <v>920518</v>
      </c>
      <c r="AX19" s="65">
        <v>48307</v>
      </c>
      <c r="AY19" s="65">
        <v>107034</v>
      </c>
      <c r="AZ19" s="65">
        <f t="shared" si="15"/>
        <v>155341</v>
      </c>
      <c r="BA19" s="65">
        <v>29777</v>
      </c>
      <c r="BB19" s="65">
        <v>70223</v>
      </c>
      <c r="BC19" s="65">
        <f t="shared" si="16"/>
        <v>100000</v>
      </c>
      <c r="BD19" s="65">
        <v>123662</v>
      </c>
      <c r="BE19" s="65">
        <v>684682</v>
      </c>
      <c r="BF19" s="65">
        <f t="shared" si="17"/>
        <v>808344</v>
      </c>
      <c r="BG19" s="65">
        <v>100442</v>
      </c>
      <c r="BH19" s="65">
        <v>224894</v>
      </c>
      <c r="BI19" s="65">
        <f t="shared" si="18"/>
        <v>325336</v>
      </c>
      <c r="BJ19" s="65"/>
      <c r="BK19" s="65"/>
      <c r="BL19" s="65">
        <f t="shared" si="31"/>
        <v>0</v>
      </c>
      <c r="BM19" s="65">
        <v>9875939</v>
      </c>
      <c r="BN19" s="65">
        <v>19468667</v>
      </c>
      <c r="BO19" s="65">
        <f t="shared" si="19"/>
        <v>29344606</v>
      </c>
      <c r="BP19" s="65"/>
      <c r="BQ19" s="65"/>
      <c r="BR19" s="65">
        <f t="shared" si="32"/>
        <v>0</v>
      </c>
      <c r="BS19" s="65">
        <v>11107</v>
      </c>
      <c r="BT19" s="65">
        <v>18889</v>
      </c>
      <c r="BU19" s="65">
        <f t="shared" si="20"/>
        <v>29996</v>
      </c>
      <c r="BV19" s="65">
        <f>-5051+428534</f>
        <v>423483</v>
      </c>
      <c r="BW19" s="65">
        <f>2541182-29949</f>
        <v>2511233</v>
      </c>
      <c r="BX19" s="65">
        <f t="shared" si="21"/>
        <v>2934716</v>
      </c>
      <c r="BY19" s="65"/>
      <c r="BZ19" s="65"/>
      <c r="CA19" s="65">
        <f t="shared" si="22"/>
        <v>0</v>
      </c>
      <c r="CB19" s="65"/>
      <c r="CC19" s="65"/>
      <c r="CD19" s="65">
        <v>50000</v>
      </c>
      <c r="CE19" s="65">
        <v>432955</v>
      </c>
      <c r="CF19" s="65">
        <v>1743164</v>
      </c>
      <c r="CG19" s="65">
        <f t="shared" si="23"/>
        <v>2176119</v>
      </c>
      <c r="CH19" s="65"/>
      <c r="CI19" s="65"/>
      <c r="CJ19" s="65">
        <f t="shared" si="24"/>
        <v>0</v>
      </c>
      <c r="CK19" s="65"/>
      <c r="CL19" s="65"/>
      <c r="CM19" s="65">
        <f t="shared" si="25"/>
        <v>0</v>
      </c>
      <c r="CN19" s="65">
        <v>19597</v>
      </c>
      <c r="CO19" s="65">
        <v>31107</v>
      </c>
      <c r="CP19" s="65">
        <f t="shared" si="26"/>
        <v>50704</v>
      </c>
      <c r="CQ19" s="65">
        <f>1001640+105428</f>
        <v>1107068</v>
      </c>
      <c r="CR19" s="65">
        <f>4241346+446424</f>
        <v>4687770</v>
      </c>
      <c r="CS19" s="65">
        <f t="shared" si="27"/>
        <v>5794838</v>
      </c>
      <c r="CT19" s="65"/>
      <c r="CU19" s="65"/>
      <c r="CV19" s="65">
        <v>18481835</v>
      </c>
      <c r="CW19" s="65">
        <v>21771</v>
      </c>
      <c r="CX19" s="65">
        <v>66770</v>
      </c>
      <c r="CY19" s="65">
        <f t="shared" si="29"/>
        <v>88541</v>
      </c>
    </row>
    <row r="20" spans="1:103" s="68" customFormat="1" ht="15" customHeight="1" x14ac:dyDescent="0.25">
      <c r="A20" s="64" t="s">
        <v>209</v>
      </c>
      <c r="B20" s="67">
        <f>SUM(B6:B19)</f>
        <v>976080</v>
      </c>
      <c r="C20" s="67">
        <f t="shared" ref="C20:BN20" si="34">SUM(C6:C19)</f>
        <v>1426876</v>
      </c>
      <c r="D20" s="67">
        <f t="shared" si="34"/>
        <v>2402956</v>
      </c>
      <c r="E20" s="67">
        <f t="shared" si="34"/>
        <v>1825889</v>
      </c>
      <c r="F20" s="67">
        <f t="shared" si="34"/>
        <v>3380732</v>
      </c>
      <c r="G20" s="67">
        <f t="shared" si="34"/>
        <v>5206621</v>
      </c>
      <c r="H20" s="67">
        <f t="shared" si="34"/>
        <v>0</v>
      </c>
      <c r="I20" s="67">
        <f t="shared" si="34"/>
        <v>0</v>
      </c>
      <c r="J20" s="67">
        <f t="shared" si="34"/>
        <v>33934173</v>
      </c>
      <c r="K20" s="67">
        <f t="shared" si="34"/>
        <v>300000</v>
      </c>
      <c r="L20" s="67">
        <f t="shared" si="34"/>
        <v>10796012</v>
      </c>
      <c r="M20" s="67">
        <f t="shared" si="34"/>
        <v>11096012</v>
      </c>
      <c r="N20" s="67">
        <f t="shared" si="34"/>
        <v>33817961</v>
      </c>
      <c r="O20" s="67">
        <f t="shared" si="34"/>
        <v>114680644</v>
      </c>
      <c r="P20" s="67">
        <f t="shared" si="34"/>
        <v>148498605</v>
      </c>
      <c r="Q20" s="67">
        <f t="shared" si="34"/>
        <v>4682275</v>
      </c>
      <c r="R20" s="67">
        <f t="shared" si="34"/>
        <v>34078275</v>
      </c>
      <c r="S20" s="67">
        <f t="shared" si="34"/>
        <v>38760550</v>
      </c>
      <c r="T20" s="67">
        <f t="shared" si="34"/>
        <v>6566720</v>
      </c>
      <c r="U20" s="67">
        <f t="shared" si="34"/>
        <v>66876518</v>
      </c>
      <c r="V20" s="67">
        <f t="shared" si="34"/>
        <v>73443238</v>
      </c>
      <c r="W20" s="67">
        <f t="shared" si="34"/>
        <v>1299288</v>
      </c>
      <c r="X20" s="67">
        <f t="shared" si="34"/>
        <v>2753673</v>
      </c>
      <c r="Y20" s="67">
        <f t="shared" si="34"/>
        <v>4052961</v>
      </c>
      <c r="Z20" s="67">
        <f t="shared" si="34"/>
        <v>353896</v>
      </c>
      <c r="AA20" s="67">
        <f t="shared" si="34"/>
        <v>1672591</v>
      </c>
      <c r="AB20" s="67">
        <f t="shared" si="34"/>
        <v>2026487</v>
      </c>
      <c r="AC20" s="67">
        <f t="shared" si="34"/>
        <v>1403725</v>
      </c>
      <c r="AD20" s="67">
        <f t="shared" si="34"/>
        <v>254787</v>
      </c>
      <c r="AE20" s="67">
        <f t="shared" si="34"/>
        <v>1658512</v>
      </c>
      <c r="AF20" s="67">
        <f t="shared" si="34"/>
        <v>37140894.509999998</v>
      </c>
      <c r="AG20" s="67">
        <f t="shared" si="34"/>
        <v>53446653.059999995</v>
      </c>
      <c r="AH20" s="67">
        <f t="shared" si="34"/>
        <v>90587547.570000023</v>
      </c>
      <c r="AI20" s="67">
        <f t="shared" si="34"/>
        <v>6704034</v>
      </c>
      <c r="AJ20" s="67">
        <f t="shared" si="34"/>
        <v>29975598</v>
      </c>
      <c r="AK20" s="67">
        <f t="shared" si="34"/>
        <v>36679632</v>
      </c>
      <c r="AL20" s="67">
        <f t="shared" si="34"/>
        <v>6917933</v>
      </c>
      <c r="AM20" s="67">
        <f t="shared" si="34"/>
        <v>13400245</v>
      </c>
      <c r="AN20" s="67">
        <f t="shared" si="34"/>
        <v>20318178</v>
      </c>
      <c r="AO20" s="67">
        <f t="shared" si="34"/>
        <v>18867539</v>
      </c>
      <c r="AP20" s="67">
        <f t="shared" si="34"/>
        <v>71237252</v>
      </c>
      <c r="AQ20" s="67">
        <f t="shared" si="34"/>
        <v>90104791</v>
      </c>
      <c r="AR20" s="67">
        <f t="shared" si="34"/>
        <v>49508013</v>
      </c>
      <c r="AS20" s="67">
        <f t="shared" si="34"/>
        <v>162713999</v>
      </c>
      <c r="AT20" s="67">
        <f t="shared" si="34"/>
        <v>212222012</v>
      </c>
      <c r="AU20" s="67">
        <f t="shared" si="34"/>
        <v>15308661</v>
      </c>
      <c r="AV20" s="67">
        <f t="shared" si="34"/>
        <v>59469877</v>
      </c>
      <c r="AW20" s="67">
        <f t="shared" si="34"/>
        <v>74778538</v>
      </c>
      <c r="AX20" s="67">
        <f t="shared" si="34"/>
        <v>1404741</v>
      </c>
      <c r="AY20" s="67">
        <f t="shared" si="34"/>
        <v>3390974</v>
      </c>
      <c r="AZ20" s="67">
        <f t="shared" si="34"/>
        <v>4795715</v>
      </c>
      <c r="BA20" s="67">
        <f t="shared" si="34"/>
        <v>5293443</v>
      </c>
      <c r="BB20" s="67">
        <f t="shared" si="34"/>
        <v>12483731</v>
      </c>
      <c r="BC20" s="67">
        <f t="shared" si="34"/>
        <v>17777174</v>
      </c>
      <c r="BD20" s="67">
        <f t="shared" si="34"/>
        <v>2694543</v>
      </c>
      <c r="BE20" s="67">
        <f t="shared" si="34"/>
        <v>14918973</v>
      </c>
      <c r="BF20" s="67">
        <f t="shared" si="34"/>
        <v>17613516</v>
      </c>
      <c r="BG20" s="67">
        <f t="shared" si="34"/>
        <v>2467274</v>
      </c>
      <c r="BH20" s="67">
        <f t="shared" si="34"/>
        <v>3733891</v>
      </c>
      <c r="BI20" s="67">
        <f t="shared" si="34"/>
        <v>6201165</v>
      </c>
      <c r="BJ20" s="67">
        <f t="shared" si="34"/>
        <v>0</v>
      </c>
      <c r="BK20" s="67">
        <f t="shared" si="34"/>
        <v>0</v>
      </c>
      <c r="BL20" s="67">
        <f t="shared" si="34"/>
        <v>3708313</v>
      </c>
      <c r="BM20" s="67">
        <f t="shared" si="34"/>
        <v>180751385</v>
      </c>
      <c r="BN20" s="67">
        <f t="shared" si="34"/>
        <v>357044155</v>
      </c>
      <c r="BO20" s="67">
        <f t="shared" ref="BO20:CY20" si="35">SUM(BO6:BO19)</f>
        <v>537795540</v>
      </c>
      <c r="BP20" s="67">
        <f t="shared" si="35"/>
        <v>0</v>
      </c>
      <c r="BQ20" s="67">
        <f t="shared" si="35"/>
        <v>0</v>
      </c>
      <c r="BR20" s="67">
        <f t="shared" si="35"/>
        <v>203323227</v>
      </c>
      <c r="BS20" s="67">
        <f t="shared" si="35"/>
        <v>1121828</v>
      </c>
      <c r="BT20" s="67">
        <f t="shared" si="35"/>
        <v>1907881</v>
      </c>
      <c r="BU20" s="67">
        <f t="shared" si="35"/>
        <v>3029709</v>
      </c>
      <c r="BV20" s="67">
        <f t="shared" si="35"/>
        <v>11490243</v>
      </c>
      <c r="BW20" s="67">
        <f t="shared" si="35"/>
        <v>68136460</v>
      </c>
      <c r="BX20" s="67">
        <f t="shared" si="35"/>
        <v>79626703</v>
      </c>
      <c r="BY20" s="67">
        <f t="shared" ref="BY20:CA20" si="36">SUM(BY6:BY19)</f>
        <v>23710</v>
      </c>
      <c r="BZ20" s="67">
        <f t="shared" si="36"/>
        <v>61208</v>
      </c>
      <c r="CA20" s="67">
        <f t="shared" si="36"/>
        <v>84918</v>
      </c>
      <c r="CB20" s="67">
        <f t="shared" si="35"/>
        <v>0</v>
      </c>
      <c r="CC20" s="67">
        <f t="shared" si="35"/>
        <v>0</v>
      </c>
      <c r="CD20" s="67">
        <f t="shared" si="35"/>
        <v>11770583</v>
      </c>
      <c r="CE20" s="67">
        <f t="shared" si="35"/>
        <v>8299400</v>
      </c>
      <c r="CF20" s="67">
        <f t="shared" si="35"/>
        <v>33415049</v>
      </c>
      <c r="CG20" s="67">
        <f t="shared" si="35"/>
        <v>41714449</v>
      </c>
      <c r="CH20" s="67">
        <f t="shared" si="35"/>
        <v>13099840</v>
      </c>
      <c r="CI20" s="67">
        <f t="shared" si="35"/>
        <v>38299829</v>
      </c>
      <c r="CJ20" s="67">
        <f t="shared" si="35"/>
        <v>51399669</v>
      </c>
      <c r="CK20" s="67">
        <f t="shared" si="35"/>
        <v>13229158</v>
      </c>
      <c r="CL20" s="67">
        <f t="shared" si="35"/>
        <v>61310901</v>
      </c>
      <c r="CM20" s="67">
        <f t="shared" si="35"/>
        <v>74540059</v>
      </c>
      <c r="CN20" s="67">
        <f t="shared" si="35"/>
        <v>13458069</v>
      </c>
      <c r="CO20" s="67">
        <f t="shared" si="35"/>
        <v>21362293</v>
      </c>
      <c r="CP20" s="67">
        <f t="shared" si="35"/>
        <v>34820362</v>
      </c>
      <c r="CQ20" s="67">
        <f t="shared" si="35"/>
        <v>19662906</v>
      </c>
      <c r="CR20" s="67">
        <f t="shared" si="35"/>
        <v>83260624</v>
      </c>
      <c r="CS20" s="67">
        <f t="shared" si="35"/>
        <v>102923530</v>
      </c>
      <c r="CT20" s="67">
        <f t="shared" ref="CT20:CV20" si="37">SUM(CT6:CT19)</f>
        <v>0</v>
      </c>
      <c r="CU20" s="67">
        <f t="shared" si="37"/>
        <v>0</v>
      </c>
      <c r="CV20" s="67">
        <f t="shared" si="37"/>
        <v>279635527</v>
      </c>
      <c r="CW20" s="67">
        <f t="shared" si="35"/>
        <v>5237889</v>
      </c>
      <c r="CX20" s="67">
        <f t="shared" si="35"/>
        <v>16064426</v>
      </c>
      <c r="CY20" s="67">
        <f t="shared" si="35"/>
        <v>21302315</v>
      </c>
    </row>
    <row r="21" spans="1:103" ht="15" customHeight="1" x14ac:dyDescent="0.25">
      <c r="A21" s="64" t="s">
        <v>210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</row>
    <row r="22" spans="1:103" ht="30" x14ac:dyDescent="0.25">
      <c r="A22" s="66" t="s">
        <v>195</v>
      </c>
      <c r="B22" s="65">
        <v>219566</v>
      </c>
      <c r="C22" s="65">
        <v>320971</v>
      </c>
      <c r="D22" s="65">
        <f t="shared" ref="D22:D35" si="38">B22+C22</f>
        <v>540537</v>
      </c>
      <c r="E22" s="65"/>
      <c r="F22" s="65"/>
      <c r="G22" s="65">
        <f t="shared" ref="G22:G35" si="39">F22+E22</f>
        <v>0</v>
      </c>
      <c r="H22" s="65"/>
      <c r="I22" s="65"/>
      <c r="J22" s="65">
        <v>13861518</v>
      </c>
      <c r="K22" s="65"/>
      <c r="L22" s="65">
        <v>657397</v>
      </c>
      <c r="M22" s="65">
        <f t="shared" ref="M22:M35" si="40">L22+K22</f>
        <v>657397</v>
      </c>
      <c r="N22" s="65">
        <v>3057000</v>
      </c>
      <c r="O22" s="65">
        <v>8848440</v>
      </c>
      <c r="P22" s="65">
        <f t="shared" ref="P22:P35" si="41">O22+N22</f>
        <v>11905440</v>
      </c>
      <c r="Q22" s="65">
        <v>44837</v>
      </c>
      <c r="R22" s="65">
        <v>326327</v>
      </c>
      <c r="S22" s="65">
        <f t="shared" ref="S22:S35" si="42">R22+Q22</f>
        <v>371164</v>
      </c>
      <c r="T22" s="65">
        <v>44744</v>
      </c>
      <c r="U22" s="65">
        <v>455683</v>
      </c>
      <c r="V22" s="65">
        <f t="shared" ref="V22:V35" si="43">U22+T22</f>
        <v>500427</v>
      </c>
      <c r="W22" s="65"/>
      <c r="X22" s="65"/>
      <c r="Y22" s="65">
        <f t="shared" ref="Y22:Y35" si="44">X22+W22</f>
        <v>0</v>
      </c>
      <c r="Z22" s="65"/>
      <c r="AA22" s="65"/>
      <c r="AB22" s="65">
        <f t="shared" ref="AB22:AB35" si="45">AA22+Z22</f>
        <v>0</v>
      </c>
      <c r="AC22" s="65">
        <v>50066</v>
      </c>
      <c r="AD22" s="65"/>
      <c r="AE22" s="65">
        <f t="shared" ref="AE22:AE35" si="46">AD22+AC22</f>
        <v>50066</v>
      </c>
      <c r="AF22" s="65">
        <f>681217.38+1049384.14</f>
        <v>1730601.52</v>
      </c>
      <c r="AG22" s="65">
        <f>980288.42+1510089.38</f>
        <v>2490377.7999999998</v>
      </c>
      <c r="AH22" s="65">
        <f t="shared" ref="AH22:AH35" si="47">AG22+AF22</f>
        <v>4220979.32</v>
      </c>
      <c r="AI22" s="65">
        <v>279742</v>
      </c>
      <c r="AJ22" s="65">
        <v>1250802</v>
      </c>
      <c r="AK22" s="65">
        <f t="shared" ref="AK22:AK35" si="48">AJ22+AI22</f>
        <v>1530544</v>
      </c>
      <c r="AL22" s="65"/>
      <c r="AM22" s="65">
        <v>730544</v>
      </c>
      <c r="AN22" s="65">
        <f t="shared" ref="AN22:AN35" si="49">AM22+AL22</f>
        <v>730544</v>
      </c>
      <c r="AO22" s="65">
        <v>232148</v>
      </c>
      <c r="AP22" s="65">
        <v>876510</v>
      </c>
      <c r="AQ22" s="65">
        <f t="shared" ref="AQ22:AQ35" si="50">AP22+AO22</f>
        <v>1108658</v>
      </c>
      <c r="AR22" s="65">
        <v>2367625</v>
      </c>
      <c r="AS22" s="65">
        <v>7817406</v>
      </c>
      <c r="AT22" s="65">
        <f t="shared" ref="AT22:AT35" si="51">AS22+AR22</f>
        <v>10185031</v>
      </c>
      <c r="AU22" s="65">
        <v>20846</v>
      </c>
      <c r="AV22" s="65">
        <v>80980</v>
      </c>
      <c r="AW22" s="65">
        <f t="shared" ref="AW22:AW35" si="52">AV22+AU22</f>
        <v>101826</v>
      </c>
      <c r="AX22" s="65">
        <v>181543</v>
      </c>
      <c r="AY22" s="65">
        <v>402248</v>
      </c>
      <c r="AZ22" s="65">
        <f t="shared" ref="AZ22:AZ35" si="53">AY22+AX22</f>
        <v>583791</v>
      </c>
      <c r="BA22" s="65">
        <v>329214</v>
      </c>
      <c r="BB22" s="65">
        <v>776398</v>
      </c>
      <c r="BC22" s="65">
        <f t="shared" ref="BC22:BC35" si="54">BB22+BA22</f>
        <v>1105612</v>
      </c>
      <c r="BD22" s="65"/>
      <c r="BE22" s="65"/>
      <c r="BF22" s="65">
        <f t="shared" ref="BF22:BF35" si="55">BE22+BD22</f>
        <v>0</v>
      </c>
      <c r="BG22" s="65"/>
      <c r="BH22" s="65">
        <v>544796</v>
      </c>
      <c r="BI22" s="65">
        <f t="shared" ref="BI22:BI35" si="56">BH22+BG22</f>
        <v>544796</v>
      </c>
      <c r="BJ22" s="65"/>
      <c r="BK22" s="65"/>
      <c r="BL22" s="65">
        <v>48644</v>
      </c>
      <c r="BM22" s="65">
        <v>5776548</v>
      </c>
      <c r="BN22" s="65">
        <v>11790640</v>
      </c>
      <c r="BO22" s="65">
        <f t="shared" ref="BO22:BO35" si="57">BN22+BM22</f>
        <v>17567188</v>
      </c>
      <c r="BP22" s="65"/>
      <c r="BQ22" s="65"/>
      <c r="BR22" s="65">
        <v>2650121</v>
      </c>
      <c r="BS22" s="65">
        <v>129830</v>
      </c>
      <c r="BT22" s="65">
        <v>220801</v>
      </c>
      <c r="BU22" s="65">
        <f t="shared" ref="BU22:BU35" si="58">BT22+BS22</f>
        <v>350631</v>
      </c>
      <c r="BV22" s="65">
        <v>242023</v>
      </c>
      <c r="BW22" s="65">
        <v>1435182</v>
      </c>
      <c r="BX22" s="65">
        <f t="shared" ref="BX22:BX35" si="59">BW22+BV22</f>
        <v>1677205</v>
      </c>
      <c r="BY22" s="65"/>
      <c r="BZ22" s="65"/>
      <c r="CA22" s="65">
        <f t="shared" ref="CA22:CA35" si="60">BZ22+BY22</f>
        <v>0</v>
      </c>
      <c r="CB22" s="65"/>
      <c r="CC22" s="65"/>
      <c r="CD22" s="65">
        <v>200241</v>
      </c>
      <c r="CE22" s="65"/>
      <c r="CF22" s="65"/>
      <c r="CG22" s="65">
        <f t="shared" ref="CG22:CG35" si="61">CF22+CE22</f>
        <v>0</v>
      </c>
      <c r="CH22" s="65">
        <v>149693</v>
      </c>
      <c r="CI22" s="65">
        <v>902854</v>
      </c>
      <c r="CJ22" s="65">
        <f t="shared" ref="CJ22:CJ35" si="62">CI22+CH22</f>
        <v>1052547</v>
      </c>
      <c r="CK22" s="65"/>
      <c r="CL22" s="65">
        <v>529730</v>
      </c>
      <c r="CM22" s="65">
        <f t="shared" ref="CM22:CM35" si="63">CL22+CK22</f>
        <v>529730</v>
      </c>
      <c r="CN22" s="65"/>
      <c r="CO22" s="65"/>
      <c r="CP22" s="65">
        <f t="shared" ref="CP22:CP35" si="64">CO22+CN22</f>
        <v>0</v>
      </c>
      <c r="CQ22" s="65"/>
      <c r="CR22" s="65"/>
      <c r="CS22" s="65">
        <f t="shared" ref="CS22:CS35" si="65">CR22+CQ22</f>
        <v>0</v>
      </c>
      <c r="CT22" s="65"/>
      <c r="CU22" s="65"/>
      <c r="CV22" s="65">
        <v>5105084</v>
      </c>
      <c r="CW22" s="65">
        <v>172186</v>
      </c>
      <c r="CX22" s="65">
        <v>528090</v>
      </c>
      <c r="CY22" s="65">
        <f t="shared" ref="CY22:CY35" si="66">CX22+CW22</f>
        <v>700276</v>
      </c>
    </row>
    <row r="23" spans="1:103" ht="15" customHeight="1" x14ac:dyDescent="0.25">
      <c r="A23" s="66" t="s">
        <v>196</v>
      </c>
      <c r="B23" s="65"/>
      <c r="C23" s="65"/>
      <c r="D23" s="65">
        <f t="shared" si="38"/>
        <v>0</v>
      </c>
      <c r="E23" s="65"/>
      <c r="F23" s="65"/>
      <c r="G23" s="65">
        <f t="shared" si="39"/>
        <v>0</v>
      </c>
      <c r="H23" s="65"/>
      <c r="I23" s="65"/>
      <c r="J23" s="65">
        <v>3800474</v>
      </c>
      <c r="K23" s="65"/>
      <c r="L23" s="65"/>
      <c r="M23" s="65">
        <f t="shared" si="40"/>
        <v>0</v>
      </c>
      <c r="N23" s="65"/>
      <c r="O23" s="65"/>
      <c r="P23" s="65">
        <f t="shared" si="41"/>
        <v>0</v>
      </c>
      <c r="Q23" s="65"/>
      <c r="R23" s="65"/>
      <c r="S23" s="65">
        <f t="shared" si="42"/>
        <v>0</v>
      </c>
      <c r="T23" s="65"/>
      <c r="U23" s="65"/>
      <c r="V23" s="65">
        <f t="shared" si="43"/>
        <v>0</v>
      </c>
      <c r="W23" s="65"/>
      <c r="X23" s="65"/>
      <c r="Y23" s="65">
        <f t="shared" si="44"/>
        <v>0</v>
      </c>
      <c r="Z23" s="65"/>
      <c r="AA23" s="65"/>
      <c r="AB23" s="65">
        <f t="shared" si="45"/>
        <v>0</v>
      </c>
      <c r="AC23" s="65">
        <v>3006</v>
      </c>
      <c r="AD23" s="65"/>
      <c r="AE23" s="65">
        <f t="shared" si="46"/>
        <v>3006</v>
      </c>
      <c r="AF23" s="65"/>
      <c r="AG23" s="65"/>
      <c r="AH23" s="65">
        <f t="shared" si="47"/>
        <v>0</v>
      </c>
      <c r="AI23" s="65"/>
      <c r="AJ23" s="65"/>
      <c r="AK23" s="65">
        <f t="shared" si="48"/>
        <v>0</v>
      </c>
      <c r="AL23" s="65"/>
      <c r="AM23" s="65"/>
      <c r="AN23" s="65">
        <f t="shared" si="49"/>
        <v>0</v>
      </c>
      <c r="AO23" s="65"/>
      <c r="AP23" s="65"/>
      <c r="AQ23" s="65">
        <f t="shared" si="50"/>
        <v>0</v>
      </c>
      <c r="AR23" s="65">
        <v>1509568</v>
      </c>
      <c r="AS23" s="65">
        <v>4984279</v>
      </c>
      <c r="AT23" s="65">
        <f t="shared" si="51"/>
        <v>6493847</v>
      </c>
      <c r="AU23" s="65">
        <v>1754470</v>
      </c>
      <c r="AV23" s="65">
        <v>6815629</v>
      </c>
      <c r="AW23" s="65">
        <f t="shared" si="52"/>
        <v>8570099</v>
      </c>
      <c r="AX23" s="65"/>
      <c r="AY23" s="65"/>
      <c r="AZ23" s="65">
        <f t="shared" si="53"/>
        <v>0</v>
      </c>
      <c r="BA23" s="65"/>
      <c r="BB23" s="65"/>
      <c r="BC23" s="65">
        <f t="shared" si="54"/>
        <v>0</v>
      </c>
      <c r="BD23" s="65"/>
      <c r="BE23" s="65"/>
      <c r="BF23" s="65">
        <f t="shared" si="55"/>
        <v>0</v>
      </c>
      <c r="BG23" s="65"/>
      <c r="BH23" s="65">
        <v>100504</v>
      </c>
      <c r="BI23" s="65">
        <f t="shared" si="56"/>
        <v>100504</v>
      </c>
      <c r="BJ23" s="65"/>
      <c r="BK23" s="65"/>
      <c r="BL23" s="65">
        <f t="shared" ref="BL22:BL35" si="67">BK23+BJ23</f>
        <v>0</v>
      </c>
      <c r="BM23" s="65"/>
      <c r="BN23" s="65"/>
      <c r="BO23" s="65">
        <f t="shared" si="57"/>
        <v>0</v>
      </c>
      <c r="BP23" s="65"/>
      <c r="BQ23" s="65"/>
      <c r="BR23" s="65">
        <f t="shared" ref="BR23:BR35" si="68">BQ23+BP23</f>
        <v>0</v>
      </c>
      <c r="BS23" s="65"/>
      <c r="BT23" s="65"/>
      <c r="BU23" s="65">
        <f t="shared" si="58"/>
        <v>0</v>
      </c>
      <c r="BV23" s="65">
        <v>122727</v>
      </c>
      <c r="BW23" s="65">
        <v>727765</v>
      </c>
      <c r="BX23" s="65">
        <f t="shared" si="59"/>
        <v>850492</v>
      </c>
      <c r="BY23" s="65"/>
      <c r="BZ23" s="65"/>
      <c r="CA23" s="65">
        <f t="shared" si="60"/>
        <v>0</v>
      </c>
      <c r="CB23" s="65"/>
      <c r="CC23" s="65"/>
      <c r="CD23" s="65"/>
      <c r="CE23" s="65"/>
      <c r="CF23" s="65"/>
      <c r="CG23" s="65">
        <f t="shared" si="61"/>
        <v>0</v>
      </c>
      <c r="CH23" s="65"/>
      <c r="CI23" s="65">
        <v>442300</v>
      </c>
      <c r="CJ23" s="65">
        <f t="shared" si="62"/>
        <v>442300</v>
      </c>
      <c r="CK23" s="65">
        <v>757</v>
      </c>
      <c r="CL23" s="65"/>
      <c r="CM23" s="65">
        <f t="shared" si="63"/>
        <v>757</v>
      </c>
      <c r="CN23" s="65">
        <v>79706</v>
      </c>
      <c r="CO23" s="65">
        <v>126520</v>
      </c>
      <c r="CP23" s="65">
        <f t="shared" si="64"/>
        <v>206226</v>
      </c>
      <c r="CQ23" s="65"/>
      <c r="CR23" s="65"/>
      <c r="CS23" s="65"/>
      <c r="CT23" s="65"/>
      <c r="CU23" s="65"/>
      <c r="CV23" s="65">
        <f t="shared" ref="CV23:CV33" si="69">CU23+CT23</f>
        <v>0</v>
      </c>
      <c r="CW23" s="65"/>
      <c r="CX23" s="65"/>
      <c r="CY23" s="65">
        <f t="shared" si="66"/>
        <v>0</v>
      </c>
    </row>
    <row r="24" spans="1:103" ht="15" customHeight="1" x14ac:dyDescent="0.25">
      <c r="A24" s="66" t="s">
        <v>197</v>
      </c>
      <c r="B24" s="65"/>
      <c r="C24" s="65"/>
      <c r="D24" s="65">
        <f t="shared" si="38"/>
        <v>0</v>
      </c>
      <c r="E24" s="65"/>
      <c r="F24" s="65"/>
      <c r="G24" s="65">
        <f t="shared" si="39"/>
        <v>0</v>
      </c>
      <c r="H24" s="65"/>
      <c r="I24" s="65"/>
      <c r="J24" s="65">
        <f t="shared" ref="J22:J35" si="70">I24+H24</f>
        <v>0</v>
      </c>
      <c r="K24" s="65"/>
      <c r="L24" s="65"/>
      <c r="M24" s="65">
        <f t="shared" si="40"/>
        <v>0</v>
      </c>
      <c r="N24" s="65"/>
      <c r="O24" s="65"/>
      <c r="P24" s="65">
        <f t="shared" si="41"/>
        <v>0</v>
      </c>
      <c r="Q24" s="65"/>
      <c r="R24" s="65"/>
      <c r="S24" s="65">
        <f t="shared" si="42"/>
        <v>0</v>
      </c>
      <c r="T24" s="65"/>
      <c r="U24" s="65"/>
      <c r="V24" s="65">
        <f t="shared" si="43"/>
        <v>0</v>
      </c>
      <c r="W24" s="65"/>
      <c r="X24" s="65"/>
      <c r="Y24" s="65">
        <f t="shared" si="44"/>
        <v>0</v>
      </c>
      <c r="Z24" s="65"/>
      <c r="AA24" s="65"/>
      <c r="AB24" s="65">
        <f t="shared" si="45"/>
        <v>0</v>
      </c>
      <c r="AC24" s="65"/>
      <c r="AD24" s="65"/>
      <c r="AE24" s="65">
        <f t="shared" si="46"/>
        <v>0</v>
      </c>
      <c r="AF24" s="65"/>
      <c r="AG24" s="65"/>
      <c r="AH24" s="65">
        <f t="shared" si="47"/>
        <v>0</v>
      </c>
      <c r="AI24" s="65"/>
      <c r="AJ24" s="65"/>
      <c r="AK24" s="65">
        <f t="shared" si="48"/>
        <v>0</v>
      </c>
      <c r="AL24" s="65"/>
      <c r="AM24" s="65"/>
      <c r="AN24" s="65">
        <f t="shared" si="49"/>
        <v>0</v>
      </c>
      <c r="AO24" s="65"/>
      <c r="AP24" s="65"/>
      <c r="AQ24" s="65">
        <f t="shared" si="50"/>
        <v>0</v>
      </c>
      <c r="AR24" s="65"/>
      <c r="AS24" s="65"/>
      <c r="AT24" s="65">
        <f t="shared" si="51"/>
        <v>0</v>
      </c>
      <c r="AU24" s="65"/>
      <c r="AV24" s="65"/>
      <c r="AW24" s="65">
        <f t="shared" si="52"/>
        <v>0</v>
      </c>
      <c r="AX24" s="65"/>
      <c r="AY24" s="65"/>
      <c r="AZ24" s="65">
        <f t="shared" si="53"/>
        <v>0</v>
      </c>
      <c r="BA24" s="65"/>
      <c r="BB24" s="65"/>
      <c r="BC24" s="65">
        <f t="shared" si="54"/>
        <v>0</v>
      </c>
      <c r="BD24" s="65"/>
      <c r="BE24" s="65"/>
      <c r="BF24" s="65">
        <f t="shared" si="55"/>
        <v>0</v>
      </c>
      <c r="BG24" s="65"/>
      <c r="BH24" s="65"/>
      <c r="BI24" s="65">
        <f t="shared" si="56"/>
        <v>0</v>
      </c>
      <c r="BJ24" s="65"/>
      <c r="BK24" s="65"/>
      <c r="BL24" s="65">
        <f t="shared" si="67"/>
        <v>0</v>
      </c>
      <c r="BM24" s="65"/>
      <c r="BN24" s="65"/>
      <c r="BO24" s="65">
        <f t="shared" si="57"/>
        <v>0</v>
      </c>
      <c r="BP24" s="65"/>
      <c r="BQ24" s="65"/>
      <c r="BR24" s="65">
        <f t="shared" si="68"/>
        <v>0</v>
      </c>
      <c r="BS24" s="65"/>
      <c r="BT24" s="65"/>
      <c r="BU24" s="65">
        <f t="shared" si="58"/>
        <v>0</v>
      </c>
      <c r="BV24" s="65"/>
      <c r="BW24" s="65"/>
      <c r="BX24" s="65">
        <f t="shared" si="59"/>
        <v>0</v>
      </c>
      <c r="BY24" s="65"/>
      <c r="BZ24" s="65"/>
      <c r="CA24" s="65">
        <f t="shared" si="60"/>
        <v>0</v>
      </c>
      <c r="CB24" s="65"/>
      <c r="CC24" s="65"/>
      <c r="CD24" s="65">
        <f t="shared" ref="CD24:CD33" si="71">CC24+CB24</f>
        <v>0</v>
      </c>
      <c r="CE24" s="65"/>
      <c r="CF24" s="65"/>
      <c r="CG24" s="65">
        <f t="shared" si="61"/>
        <v>0</v>
      </c>
      <c r="CH24" s="65"/>
      <c r="CI24" s="65"/>
      <c r="CJ24" s="65">
        <f t="shared" si="62"/>
        <v>0</v>
      </c>
      <c r="CK24" s="65"/>
      <c r="CL24" s="65"/>
      <c r="CM24" s="65">
        <f t="shared" si="63"/>
        <v>0</v>
      </c>
      <c r="CN24" s="65"/>
      <c r="CO24" s="65"/>
      <c r="CP24" s="65">
        <f t="shared" si="64"/>
        <v>0</v>
      </c>
      <c r="CQ24" s="65"/>
      <c r="CR24" s="65"/>
      <c r="CS24" s="65">
        <f t="shared" si="65"/>
        <v>0</v>
      </c>
      <c r="CT24" s="65"/>
      <c r="CU24" s="65"/>
      <c r="CV24" s="65">
        <f t="shared" si="69"/>
        <v>0</v>
      </c>
      <c r="CW24" s="65"/>
      <c r="CX24" s="65"/>
      <c r="CY24" s="65">
        <f t="shared" si="66"/>
        <v>0</v>
      </c>
    </row>
    <row r="25" spans="1:103" ht="15" customHeight="1" x14ac:dyDescent="0.25">
      <c r="A25" s="66" t="s">
        <v>198</v>
      </c>
      <c r="B25" s="65"/>
      <c r="C25" s="65"/>
      <c r="D25" s="65">
        <f t="shared" si="38"/>
        <v>0</v>
      </c>
      <c r="E25" s="65"/>
      <c r="F25" s="65"/>
      <c r="G25" s="65">
        <f t="shared" si="39"/>
        <v>0</v>
      </c>
      <c r="H25" s="65"/>
      <c r="I25" s="65"/>
      <c r="J25" s="65">
        <f t="shared" si="70"/>
        <v>0</v>
      </c>
      <c r="K25" s="65"/>
      <c r="L25" s="65"/>
      <c r="M25" s="65">
        <f t="shared" si="40"/>
        <v>0</v>
      </c>
      <c r="N25" s="65"/>
      <c r="O25" s="65"/>
      <c r="P25" s="65">
        <f t="shared" si="41"/>
        <v>0</v>
      </c>
      <c r="Q25" s="65"/>
      <c r="R25" s="65"/>
      <c r="S25" s="65">
        <f t="shared" si="42"/>
        <v>0</v>
      </c>
      <c r="T25" s="65"/>
      <c r="U25" s="65"/>
      <c r="V25" s="65">
        <f t="shared" si="43"/>
        <v>0</v>
      </c>
      <c r="W25" s="65"/>
      <c r="X25" s="65"/>
      <c r="Y25" s="65">
        <f t="shared" si="44"/>
        <v>0</v>
      </c>
      <c r="Z25" s="65"/>
      <c r="AA25" s="65"/>
      <c r="AB25" s="65">
        <f t="shared" si="45"/>
        <v>0</v>
      </c>
      <c r="AC25" s="65"/>
      <c r="AD25" s="65"/>
      <c r="AE25" s="65">
        <f t="shared" si="46"/>
        <v>0</v>
      </c>
      <c r="AF25" s="65"/>
      <c r="AG25" s="65"/>
      <c r="AH25" s="65">
        <f t="shared" si="47"/>
        <v>0</v>
      </c>
      <c r="AI25" s="65"/>
      <c r="AJ25" s="65"/>
      <c r="AK25" s="65">
        <f t="shared" si="48"/>
        <v>0</v>
      </c>
      <c r="AL25" s="65"/>
      <c r="AM25" s="65"/>
      <c r="AN25" s="65">
        <f t="shared" si="49"/>
        <v>0</v>
      </c>
      <c r="AO25" s="65"/>
      <c r="AP25" s="65"/>
      <c r="AQ25" s="65">
        <f t="shared" si="50"/>
        <v>0</v>
      </c>
      <c r="AR25" s="65"/>
      <c r="AS25" s="65"/>
      <c r="AT25" s="65">
        <f t="shared" si="51"/>
        <v>0</v>
      </c>
      <c r="AU25" s="65"/>
      <c r="AV25" s="65"/>
      <c r="AW25" s="65">
        <f t="shared" si="52"/>
        <v>0</v>
      </c>
      <c r="AX25" s="65"/>
      <c r="AY25" s="65"/>
      <c r="AZ25" s="65">
        <f t="shared" si="53"/>
        <v>0</v>
      </c>
      <c r="BA25" s="65"/>
      <c r="BB25" s="65"/>
      <c r="BC25" s="65">
        <f t="shared" si="54"/>
        <v>0</v>
      </c>
      <c r="BD25" s="65"/>
      <c r="BE25" s="65"/>
      <c r="BF25" s="65">
        <f t="shared" si="55"/>
        <v>0</v>
      </c>
      <c r="BG25" s="65"/>
      <c r="BH25" s="65"/>
      <c r="BI25" s="65">
        <f t="shared" si="56"/>
        <v>0</v>
      </c>
      <c r="BJ25" s="65"/>
      <c r="BK25" s="65"/>
      <c r="BL25" s="65">
        <f t="shared" si="67"/>
        <v>0</v>
      </c>
      <c r="BM25" s="65"/>
      <c r="BN25" s="65"/>
      <c r="BO25" s="65">
        <f t="shared" si="57"/>
        <v>0</v>
      </c>
      <c r="BP25" s="65"/>
      <c r="BQ25" s="65"/>
      <c r="BR25" s="65">
        <f t="shared" si="68"/>
        <v>0</v>
      </c>
      <c r="BS25" s="65"/>
      <c r="BT25" s="65"/>
      <c r="BU25" s="65">
        <f t="shared" si="58"/>
        <v>0</v>
      </c>
      <c r="BV25" s="65"/>
      <c r="BW25" s="65"/>
      <c r="BX25" s="65">
        <f t="shared" si="59"/>
        <v>0</v>
      </c>
      <c r="BY25" s="65"/>
      <c r="BZ25" s="65"/>
      <c r="CA25" s="65">
        <f t="shared" si="60"/>
        <v>0</v>
      </c>
      <c r="CB25" s="65"/>
      <c r="CC25" s="65"/>
      <c r="CD25" s="65">
        <f t="shared" si="71"/>
        <v>0</v>
      </c>
      <c r="CE25" s="65"/>
      <c r="CF25" s="65"/>
      <c r="CG25" s="65">
        <f t="shared" si="61"/>
        <v>0</v>
      </c>
      <c r="CH25" s="65"/>
      <c r="CI25" s="65"/>
      <c r="CJ25" s="65">
        <f t="shared" si="62"/>
        <v>0</v>
      </c>
      <c r="CK25" s="65"/>
      <c r="CL25" s="65"/>
      <c r="CM25" s="65">
        <f t="shared" si="63"/>
        <v>0</v>
      </c>
      <c r="CN25" s="65"/>
      <c r="CO25" s="65"/>
      <c r="CP25" s="65">
        <f t="shared" si="64"/>
        <v>0</v>
      </c>
      <c r="CQ25" s="65"/>
      <c r="CR25" s="65"/>
      <c r="CS25" s="65">
        <f t="shared" si="65"/>
        <v>0</v>
      </c>
      <c r="CT25" s="65"/>
      <c r="CU25" s="65"/>
      <c r="CV25" s="65">
        <f t="shared" si="69"/>
        <v>0</v>
      </c>
      <c r="CW25" s="65"/>
      <c r="CX25" s="65"/>
      <c r="CY25" s="65">
        <f t="shared" si="66"/>
        <v>0</v>
      </c>
    </row>
    <row r="26" spans="1:103" ht="15" customHeight="1" x14ac:dyDescent="0.25">
      <c r="A26" s="66" t="s">
        <v>199</v>
      </c>
      <c r="B26" s="65"/>
      <c r="C26" s="65"/>
      <c r="D26" s="65">
        <f t="shared" si="38"/>
        <v>0</v>
      </c>
      <c r="E26" s="65"/>
      <c r="F26" s="65"/>
      <c r="G26" s="65">
        <f t="shared" si="39"/>
        <v>0</v>
      </c>
      <c r="H26" s="65"/>
      <c r="I26" s="65"/>
      <c r="J26" s="65">
        <f t="shared" si="70"/>
        <v>0</v>
      </c>
      <c r="K26" s="65"/>
      <c r="L26" s="65"/>
      <c r="M26" s="65">
        <f t="shared" si="40"/>
        <v>0</v>
      </c>
      <c r="N26" s="65"/>
      <c r="O26" s="65"/>
      <c r="P26" s="65">
        <f t="shared" si="41"/>
        <v>0</v>
      </c>
      <c r="Q26" s="65"/>
      <c r="R26" s="65"/>
      <c r="S26" s="65">
        <f t="shared" si="42"/>
        <v>0</v>
      </c>
      <c r="T26" s="65"/>
      <c r="U26" s="65"/>
      <c r="V26" s="65">
        <f t="shared" si="43"/>
        <v>0</v>
      </c>
      <c r="W26" s="65"/>
      <c r="X26" s="65"/>
      <c r="Y26" s="65">
        <f t="shared" si="44"/>
        <v>0</v>
      </c>
      <c r="Z26" s="65"/>
      <c r="AA26" s="65"/>
      <c r="AB26" s="65">
        <f t="shared" si="45"/>
        <v>0</v>
      </c>
      <c r="AC26" s="65">
        <v>135277</v>
      </c>
      <c r="AD26" s="65"/>
      <c r="AE26" s="65">
        <f t="shared" si="46"/>
        <v>135277</v>
      </c>
      <c r="AF26" s="65"/>
      <c r="AG26" s="65"/>
      <c r="AH26" s="65">
        <f t="shared" si="47"/>
        <v>0</v>
      </c>
      <c r="AI26" s="65"/>
      <c r="AJ26" s="65"/>
      <c r="AK26" s="65">
        <f t="shared" si="48"/>
        <v>0</v>
      </c>
      <c r="AL26" s="65"/>
      <c r="AM26" s="65"/>
      <c r="AN26" s="65">
        <f t="shared" si="49"/>
        <v>0</v>
      </c>
      <c r="AO26" s="65"/>
      <c r="AP26" s="65"/>
      <c r="AQ26" s="65">
        <f t="shared" si="50"/>
        <v>0</v>
      </c>
      <c r="AR26" s="65"/>
      <c r="AS26" s="65"/>
      <c r="AT26" s="65">
        <f t="shared" si="51"/>
        <v>0</v>
      </c>
      <c r="AU26" s="65"/>
      <c r="AV26" s="65"/>
      <c r="AW26" s="65">
        <f t="shared" si="52"/>
        <v>0</v>
      </c>
      <c r="AX26" s="65"/>
      <c r="AY26" s="65"/>
      <c r="AZ26" s="65">
        <f t="shared" si="53"/>
        <v>0</v>
      </c>
      <c r="BA26" s="65"/>
      <c r="BB26" s="65"/>
      <c r="BC26" s="65">
        <f t="shared" si="54"/>
        <v>0</v>
      </c>
      <c r="BD26" s="65"/>
      <c r="BE26" s="65"/>
      <c r="BF26" s="65">
        <f t="shared" si="55"/>
        <v>0</v>
      </c>
      <c r="BG26" s="65"/>
      <c r="BH26" s="65"/>
      <c r="BI26" s="65">
        <f t="shared" si="56"/>
        <v>0</v>
      </c>
      <c r="BJ26" s="65"/>
      <c r="BK26" s="65"/>
      <c r="BL26" s="65">
        <f t="shared" si="67"/>
        <v>0</v>
      </c>
      <c r="BM26" s="65"/>
      <c r="BN26" s="65"/>
      <c r="BO26" s="65">
        <f t="shared" si="57"/>
        <v>0</v>
      </c>
      <c r="BP26" s="65"/>
      <c r="BQ26" s="65"/>
      <c r="BR26" s="65">
        <f t="shared" si="68"/>
        <v>0</v>
      </c>
      <c r="BS26" s="65"/>
      <c r="BT26" s="65"/>
      <c r="BU26" s="65">
        <f t="shared" si="58"/>
        <v>0</v>
      </c>
      <c r="BV26" s="65">
        <v>185553</v>
      </c>
      <c r="BW26" s="65">
        <v>1100319</v>
      </c>
      <c r="BX26" s="65">
        <f t="shared" si="59"/>
        <v>1285872</v>
      </c>
      <c r="BY26" s="65"/>
      <c r="BZ26" s="65"/>
      <c r="CA26" s="65">
        <f t="shared" si="60"/>
        <v>0</v>
      </c>
      <c r="CB26" s="65"/>
      <c r="CC26" s="65"/>
      <c r="CD26" s="65">
        <f t="shared" si="71"/>
        <v>0</v>
      </c>
      <c r="CE26" s="65">
        <v>575584</v>
      </c>
      <c r="CF26" s="65">
        <v>2317416</v>
      </c>
      <c r="CG26" s="65">
        <f t="shared" si="61"/>
        <v>2893000</v>
      </c>
      <c r="CH26" s="65"/>
      <c r="CI26" s="65"/>
      <c r="CJ26" s="65">
        <f t="shared" si="62"/>
        <v>0</v>
      </c>
      <c r="CK26" s="65"/>
      <c r="CL26" s="65"/>
      <c r="CM26" s="65">
        <f t="shared" si="63"/>
        <v>0</v>
      </c>
      <c r="CN26" s="65"/>
      <c r="CO26" s="65"/>
      <c r="CP26" s="65">
        <f t="shared" si="64"/>
        <v>0</v>
      </c>
      <c r="CQ26" s="65"/>
      <c r="CR26" s="65"/>
      <c r="CS26" s="65">
        <f t="shared" si="65"/>
        <v>0</v>
      </c>
      <c r="CT26" s="65"/>
      <c r="CU26" s="65"/>
      <c r="CV26" s="65">
        <f t="shared" si="69"/>
        <v>0</v>
      </c>
      <c r="CW26" s="65">
        <v>64137</v>
      </c>
      <c r="CX26" s="65">
        <v>196706</v>
      </c>
      <c r="CY26" s="65">
        <f t="shared" si="66"/>
        <v>260843</v>
      </c>
    </row>
    <row r="27" spans="1:103" ht="15" customHeight="1" x14ac:dyDescent="0.25">
      <c r="A27" s="66" t="s">
        <v>200</v>
      </c>
      <c r="B27" s="65"/>
      <c r="C27" s="65"/>
      <c r="D27" s="65">
        <f t="shared" si="38"/>
        <v>0</v>
      </c>
      <c r="E27" s="65"/>
      <c r="F27" s="65"/>
      <c r="G27" s="65">
        <f t="shared" si="39"/>
        <v>0</v>
      </c>
      <c r="H27" s="65"/>
      <c r="I27" s="65"/>
      <c r="J27" s="65">
        <f t="shared" si="70"/>
        <v>0</v>
      </c>
      <c r="K27" s="65"/>
      <c r="L27" s="65"/>
      <c r="M27" s="65">
        <f t="shared" si="40"/>
        <v>0</v>
      </c>
      <c r="N27" s="65"/>
      <c r="O27" s="65"/>
      <c r="P27" s="65">
        <f t="shared" si="41"/>
        <v>0</v>
      </c>
      <c r="Q27" s="65"/>
      <c r="R27" s="65"/>
      <c r="S27" s="65">
        <f t="shared" si="42"/>
        <v>0</v>
      </c>
      <c r="T27" s="65"/>
      <c r="U27" s="65"/>
      <c r="V27" s="65">
        <f t="shared" si="43"/>
        <v>0</v>
      </c>
      <c r="W27" s="65"/>
      <c r="X27" s="65"/>
      <c r="Y27" s="65">
        <f t="shared" si="44"/>
        <v>0</v>
      </c>
      <c r="Z27" s="65"/>
      <c r="AA27" s="65"/>
      <c r="AB27" s="65">
        <f t="shared" si="45"/>
        <v>0</v>
      </c>
      <c r="AC27" s="65">
        <v>29888</v>
      </c>
      <c r="AD27" s="65"/>
      <c r="AE27" s="65">
        <f t="shared" si="46"/>
        <v>29888</v>
      </c>
      <c r="AF27" s="65"/>
      <c r="AG27" s="65"/>
      <c r="AH27" s="65">
        <f t="shared" si="47"/>
        <v>0</v>
      </c>
      <c r="AI27" s="65"/>
      <c r="AJ27" s="65"/>
      <c r="AK27" s="65">
        <f t="shared" si="48"/>
        <v>0</v>
      </c>
      <c r="AL27" s="65"/>
      <c r="AM27" s="65"/>
      <c r="AN27" s="65">
        <f t="shared" si="49"/>
        <v>0</v>
      </c>
      <c r="AO27" s="65"/>
      <c r="AP27" s="65"/>
      <c r="AQ27" s="65">
        <f t="shared" si="50"/>
        <v>0</v>
      </c>
      <c r="AR27" s="65"/>
      <c r="AS27" s="65"/>
      <c r="AT27" s="65">
        <f t="shared" si="51"/>
        <v>0</v>
      </c>
      <c r="AU27" s="65"/>
      <c r="AV27" s="65"/>
      <c r="AW27" s="65">
        <f t="shared" si="52"/>
        <v>0</v>
      </c>
      <c r="AX27" s="65"/>
      <c r="AY27" s="65"/>
      <c r="AZ27" s="65">
        <f t="shared" si="53"/>
        <v>0</v>
      </c>
      <c r="BA27" s="65"/>
      <c r="BB27" s="65"/>
      <c r="BC27" s="65">
        <f t="shared" si="54"/>
        <v>0</v>
      </c>
      <c r="BD27" s="65">
        <v>2886</v>
      </c>
      <c r="BE27" s="65">
        <v>15980</v>
      </c>
      <c r="BF27" s="65">
        <f t="shared" si="55"/>
        <v>18866</v>
      </c>
      <c r="BG27" s="65"/>
      <c r="BH27" s="65"/>
      <c r="BI27" s="65">
        <f t="shared" si="56"/>
        <v>0</v>
      </c>
      <c r="BJ27" s="65"/>
      <c r="BK27" s="65"/>
      <c r="BL27" s="65">
        <f t="shared" si="67"/>
        <v>0</v>
      </c>
      <c r="BM27" s="65"/>
      <c r="BN27" s="65"/>
      <c r="BO27" s="65">
        <f t="shared" si="57"/>
        <v>0</v>
      </c>
      <c r="BP27" s="65"/>
      <c r="BQ27" s="65"/>
      <c r="BR27" s="65">
        <v>1326</v>
      </c>
      <c r="BS27" s="65"/>
      <c r="BT27" s="65"/>
      <c r="BU27" s="65">
        <f t="shared" si="58"/>
        <v>0</v>
      </c>
      <c r="BV27" s="65"/>
      <c r="BW27" s="65"/>
      <c r="BX27" s="65">
        <f t="shared" si="59"/>
        <v>0</v>
      </c>
      <c r="BY27" s="65"/>
      <c r="BZ27" s="65"/>
      <c r="CA27" s="65">
        <f t="shared" si="60"/>
        <v>0</v>
      </c>
      <c r="CB27" s="65"/>
      <c r="CC27" s="65"/>
      <c r="CD27" s="65">
        <f t="shared" si="71"/>
        <v>0</v>
      </c>
      <c r="CE27" s="65"/>
      <c r="CF27" s="65"/>
      <c r="CG27" s="65">
        <f t="shared" si="61"/>
        <v>0</v>
      </c>
      <c r="CH27" s="65"/>
      <c r="CI27" s="65"/>
      <c r="CJ27" s="65">
        <f t="shared" si="62"/>
        <v>0</v>
      </c>
      <c r="CK27" s="65"/>
      <c r="CL27" s="65"/>
      <c r="CM27" s="65">
        <f t="shared" si="63"/>
        <v>0</v>
      </c>
      <c r="CN27" s="65"/>
      <c r="CO27" s="65"/>
      <c r="CP27" s="65">
        <f t="shared" si="64"/>
        <v>0</v>
      </c>
      <c r="CQ27" s="65"/>
      <c r="CR27" s="65"/>
      <c r="CS27" s="65">
        <f t="shared" si="65"/>
        <v>0</v>
      </c>
      <c r="CT27" s="65"/>
      <c r="CU27" s="65"/>
      <c r="CV27" s="65">
        <f t="shared" si="69"/>
        <v>0</v>
      </c>
      <c r="CW27" s="65"/>
      <c r="CX27" s="65"/>
      <c r="CY27" s="65">
        <f t="shared" si="66"/>
        <v>0</v>
      </c>
    </row>
    <row r="28" spans="1:103" ht="15" customHeight="1" x14ac:dyDescent="0.25">
      <c r="A28" s="66" t="s">
        <v>201</v>
      </c>
      <c r="B28" s="65">
        <v>4348</v>
      </c>
      <c r="C28" s="65">
        <v>6355</v>
      </c>
      <c r="D28" s="65">
        <f t="shared" si="38"/>
        <v>10703</v>
      </c>
      <c r="E28" s="65">
        <v>80024</v>
      </c>
      <c r="F28" s="65">
        <v>374302</v>
      </c>
      <c r="G28" s="65">
        <f t="shared" si="39"/>
        <v>454326</v>
      </c>
      <c r="H28" s="65"/>
      <c r="I28" s="65"/>
      <c r="J28" s="65">
        <v>6960486</v>
      </c>
      <c r="K28" s="65"/>
      <c r="L28" s="65">
        <v>440967</v>
      </c>
      <c r="M28" s="65">
        <f t="shared" si="40"/>
        <v>440967</v>
      </c>
      <c r="N28" s="65"/>
      <c r="O28" s="65"/>
      <c r="P28" s="65">
        <f t="shared" si="41"/>
        <v>0</v>
      </c>
      <c r="Q28" s="65">
        <v>129207</v>
      </c>
      <c r="R28" s="65">
        <v>940383</v>
      </c>
      <c r="S28" s="65">
        <f t="shared" si="42"/>
        <v>1069590</v>
      </c>
      <c r="T28" s="65">
        <v>219339</v>
      </c>
      <c r="U28" s="65">
        <v>2233781</v>
      </c>
      <c r="V28" s="65">
        <f t="shared" si="43"/>
        <v>2453120</v>
      </c>
      <c r="W28" s="65">
        <v>86530</v>
      </c>
      <c r="X28" s="65">
        <v>197792</v>
      </c>
      <c r="Y28" s="65">
        <f t="shared" si="44"/>
        <v>284322</v>
      </c>
      <c r="Z28" s="65">
        <v>19305</v>
      </c>
      <c r="AA28" s="65">
        <v>144740</v>
      </c>
      <c r="AB28" s="65">
        <f t="shared" si="45"/>
        <v>164045</v>
      </c>
      <c r="AC28" s="65">
        <v>64409</v>
      </c>
      <c r="AD28" s="65"/>
      <c r="AE28" s="65">
        <f t="shared" si="46"/>
        <v>64409</v>
      </c>
      <c r="AF28" s="65">
        <v>1041414.25</v>
      </c>
      <c r="AG28" s="65">
        <v>1498620.51</v>
      </c>
      <c r="AH28" s="65">
        <f t="shared" si="47"/>
        <v>2540034.7599999998</v>
      </c>
      <c r="AI28" s="65">
        <v>30617</v>
      </c>
      <c r="AJ28" s="65">
        <v>136899</v>
      </c>
      <c r="AK28" s="65">
        <f t="shared" si="48"/>
        <v>167516</v>
      </c>
      <c r="AL28" s="65"/>
      <c r="AM28" s="65"/>
      <c r="AN28" s="65">
        <f t="shared" si="49"/>
        <v>0</v>
      </c>
      <c r="AO28" s="65">
        <v>822525</v>
      </c>
      <c r="AP28" s="65">
        <v>3105570</v>
      </c>
      <c r="AQ28" s="65">
        <f t="shared" si="50"/>
        <v>3928095</v>
      </c>
      <c r="AR28" s="65">
        <v>1187191</v>
      </c>
      <c r="AS28" s="65">
        <v>2885121</v>
      </c>
      <c r="AT28" s="65">
        <f t="shared" si="51"/>
        <v>4072312</v>
      </c>
      <c r="AU28" s="65">
        <v>153579</v>
      </c>
      <c r="AV28" s="65">
        <v>596614</v>
      </c>
      <c r="AW28" s="65">
        <f t="shared" si="52"/>
        <v>750193</v>
      </c>
      <c r="AX28" s="65">
        <v>35336</v>
      </c>
      <c r="AY28" s="65">
        <v>78295</v>
      </c>
      <c r="AZ28" s="65">
        <f t="shared" si="53"/>
        <v>113631</v>
      </c>
      <c r="BA28" s="65">
        <v>328528</v>
      </c>
      <c r="BB28" s="65">
        <v>755726</v>
      </c>
      <c r="BC28" s="65">
        <f t="shared" si="54"/>
        <v>1084254</v>
      </c>
      <c r="BD28" s="65">
        <v>68442</v>
      </c>
      <c r="BE28" s="65">
        <v>378945</v>
      </c>
      <c r="BF28" s="65">
        <f t="shared" si="55"/>
        <v>447387</v>
      </c>
      <c r="BG28" s="65">
        <v>127321</v>
      </c>
      <c r="BH28" s="65">
        <v>610803</v>
      </c>
      <c r="BI28" s="65">
        <f>BH28+BG28</f>
        <v>738124</v>
      </c>
      <c r="BJ28" s="65"/>
      <c r="BK28" s="65"/>
      <c r="BL28" s="65">
        <v>123133</v>
      </c>
      <c r="BM28" s="65">
        <v>748227</v>
      </c>
      <c r="BN28" s="65">
        <v>1527222</v>
      </c>
      <c r="BO28" s="65">
        <f t="shared" si="57"/>
        <v>2275449</v>
      </c>
      <c r="BP28" s="65"/>
      <c r="BQ28" s="65"/>
      <c r="BR28" s="65">
        <v>4376666</v>
      </c>
      <c r="BS28" s="65">
        <v>126019</v>
      </c>
      <c r="BT28" s="65">
        <v>214320</v>
      </c>
      <c r="BU28" s="65">
        <f t="shared" si="58"/>
        <v>340339</v>
      </c>
      <c r="BV28" s="65">
        <v>704331</v>
      </c>
      <c r="BW28" s="65">
        <v>4176640</v>
      </c>
      <c r="BX28" s="65">
        <f t="shared" si="59"/>
        <v>4880971</v>
      </c>
      <c r="BY28" s="65">
        <v>1408</v>
      </c>
      <c r="BZ28" s="65">
        <v>3632</v>
      </c>
      <c r="CA28" s="65">
        <f t="shared" si="60"/>
        <v>5040</v>
      </c>
      <c r="CB28" s="65"/>
      <c r="CC28" s="65"/>
      <c r="CD28" s="65">
        <v>842100</v>
      </c>
      <c r="CE28" s="65">
        <v>105370</v>
      </c>
      <c r="CF28" s="65">
        <v>424242</v>
      </c>
      <c r="CG28" s="65">
        <f t="shared" si="61"/>
        <v>529612</v>
      </c>
      <c r="CH28" s="65"/>
      <c r="CI28" s="65">
        <v>1956809</v>
      </c>
      <c r="CJ28" s="65">
        <f t="shared" si="62"/>
        <v>1956809</v>
      </c>
      <c r="CK28" s="65"/>
      <c r="CL28" s="65"/>
      <c r="CM28" s="65">
        <f t="shared" si="63"/>
        <v>0</v>
      </c>
      <c r="CN28" s="65">
        <v>654411</v>
      </c>
      <c r="CO28" s="65">
        <v>1038761</v>
      </c>
      <c r="CP28" s="65">
        <f t="shared" si="64"/>
        <v>1693172</v>
      </c>
      <c r="CQ28" s="65">
        <v>679410</v>
      </c>
      <c r="CR28" s="65">
        <v>2876893</v>
      </c>
      <c r="CS28" s="65">
        <f t="shared" si="65"/>
        <v>3556303</v>
      </c>
      <c r="CT28" s="65"/>
      <c r="CU28" s="65"/>
      <c r="CV28" s="65">
        <v>10208146</v>
      </c>
      <c r="CW28" s="65">
        <v>228986</v>
      </c>
      <c r="CX28" s="65">
        <v>702293</v>
      </c>
      <c r="CY28" s="65">
        <f t="shared" si="66"/>
        <v>931279</v>
      </c>
    </row>
    <row r="29" spans="1:103" ht="15" customHeight="1" x14ac:dyDescent="0.25">
      <c r="A29" s="66" t="s">
        <v>202</v>
      </c>
      <c r="B29" s="65">
        <v>40177</v>
      </c>
      <c r="C29" s="65">
        <v>58733</v>
      </c>
      <c r="D29" s="65">
        <f t="shared" si="38"/>
        <v>98910</v>
      </c>
      <c r="E29" s="65">
        <v>148170</v>
      </c>
      <c r="F29" s="65">
        <v>298925</v>
      </c>
      <c r="G29" s="65">
        <f t="shared" si="39"/>
        <v>447095</v>
      </c>
      <c r="H29" s="65"/>
      <c r="I29" s="65"/>
      <c r="J29" s="65">
        <v>6358763</v>
      </c>
      <c r="K29" s="65"/>
      <c r="L29" s="65">
        <v>550289</v>
      </c>
      <c r="M29" s="65">
        <f t="shared" si="40"/>
        <v>550289</v>
      </c>
      <c r="N29" s="65"/>
      <c r="O29" s="65">
        <v>6317380</v>
      </c>
      <c r="P29" s="65">
        <f t="shared" si="41"/>
        <v>6317380</v>
      </c>
      <c r="Q29" s="65">
        <v>276020</v>
      </c>
      <c r="R29" s="65">
        <v>2008914</v>
      </c>
      <c r="S29" s="65">
        <f t="shared" si="42"/>
        <v>2284934</v>
      </c>
      <c r="T29" s="65">
        <v>521314</v>
      </c>
      <c r="U29" s="65">
        <v>5309147</v>
      </c>
      <c r="V29" s="65">
        <f t="shared" si="43"/>
        <v>5830461</v>
      </c>
      <c r="W29" s="65">
        <v>199972</v>
      </c>
      <c r="X29" s="65">
        <v>299854</v>
      </c>
      <c r="Y29" s="65">
        <f t="shared" si="44"/>
        <v>499826</v>
      </c>
      <c r="Z29" s="65"/>
      <c r="AA29" s="65">
        <v>99620</v>
      </c>
      <c r="AB29" s="65">
        <f t="shared" si="45"/>
        <v>99620</v>
      </c>
      <c r="AC29" s="65">
        <v>104330</v>
      </c>
      <c r="AD29" s="65"/>
      <c r="AE29" s="65">
        <f t="shared" si="46"/>
        <v>104330</v>
      </c>
      <c r="AF29" s="65">
        <f>1658478.36+307664.23</f>
        <v>1966142.59</v>
      </c>
      <c r="AG29" s="65">
        <f>2386590.81+442736.32</f>
        <v>2829327.13</v>
      </c>
      <c r="AH29" s="65">
        <f t="shared" si="47"/>
        <v>4795469.72</v>
      </c>
      <c r="AI29" s="65">
        <v>96915</v>
      </c>
      <c r="AJ29" s="65">
        <v>433334</v>
      </c>
      <c r="AK29" s="65">
        <f t="shared" si="48"/>
        <v>530249</v>
      </c>
      <c r="AL29" s="65">
        <v>149834</v>
      </c>
      <c r="AM29" s="65">
        <v>99147</v>
      </c>
      <c r="AN29" s="65">
        <f t="shared" si="49"/>
        <v>248981</v>
      </c>
      <c r="AO29" s="65">
        <v>447350</v>
      </c>
      <c r="AP29" s="65">
        <v>1689036</v>
      </c>
      <c r="AQ29" s="65">
        <f t="shared" si="50"/>
        <v>2136386</v>
      </c>
      <c r="AR29" s="65">
        <v>383436</v>
      </c>
      <c r="AS29" s="65">
        <v>1266026</v>
      </c>
      <c r="AT29" s="65">
        <f t="shared" si="51"/>
        <v>1649462</v>
      </c>
      <c r="AU29" s="65">
        <v>542387</v>
      </c>
      <c r="AV29" s="65">
        <v>2107025</v>
      </c>
      <c r="AW29" s="65">
        <f t="shared" si="52"/>
        <v>2649412</v>
      </c>
      <c r="AX29" s="65">
        <v>77783</v>
      </c>
      <c r="AY29" s="65">
        <v>172344</v>
      </c>
      <c r="AZ29" s="65">
        <f t="shared" si="53"/>
        <v>250127</v>
      </c>
      <c r="BA29" s="65">
        <v>876848</v>
      </c>
      <c r="BB29" s="65">
        <v>2067905</v>
      </c>
      <c r="BC29" s="65">
        <f t="shared" si="54"/>
        <v>2944753</v>
      </c>
      <c r="BD29" s="65">
        <v>15373</v>
      </c>
      <c r="BE29" s="65">
        <v>85116</v>
      </c>
      <c r="BF29" s="65">
        <f t="shared" si="55"/>
        <v>100489</v>
      </c>
      <c r="BG29" s="65"/>
      <c r="BH29" s="65">
        <v>299074</v>
      </c>
      <c r="BI29" s="65">
        <f t="shared" si="56"/>
        <v>299074</v>
      </c>
      <c r="BJ29" s="65"/>
      <c r="BK29" s="65"/>
      <c r="BL29" s="65">
        <v>129142</v>
      </c>
      <c r="BM29" s="65">
        <v>3354686</v>
      </c>
      <c r="BN29" s="65">
        <v>6847323</v>
      </c>
      <c r="BO29" s="65">
        <f t="shared" si="57"/>
        <v>10202009</v>
      </c>
      <c r="BP29" s="65"/>
      <c r="BQ29" s="65"/>
      <c r="BR29" s="65">
        <v>3833207</v>
      </c>
      <c r="BS29" s="65">
        <v>129716</v>
      </c>
      <c r="BT29" s="65">
        <v>220607</v>
      </c>
      <c r="BU29" s="65">
        <f t="shared" si="58"/>
        <v>350323</v>
      </c>
      <c r="BV29" s="65">
        <v>1330520</v>
      </c>
      <c r="BW29" s="65">
        <v>7889903</v>
      </c>
      <c r="BX29" s="65">
        <f t="shared" si="59"/>
        <v>9220423</v>
      </c>
      <c r="BY29" s="65"/>
      <c r="BZ29" s="65"/>
      <c r="CA29" s="65">
        <f t="shared" si="60"/>
        <v>0</v>
      </c>
      <c r="CB29" s="65"/>
      <c r="CC29" s="65"/>
      <c r="CD29" s="65">
        <v>898116</v>
      </c>
      <c r="CE29" s="65">
        <v>863449</v>
      </c>
      <c r="CF29" s="65">
        <v>3476418</v>
      </c>
      <c r="CG29" s="65">
        <f t="shared" si="61"/>
        <v>4339867</v>
      </c>
      <c r="CH29" s="65">
        <v>100000</v>
      </c>
      <c r="CI29" s="65">
        <f>-251017+2987396</f>
        <v>2736379</v>
      </c>
      <c r="CJ29" s="65">
        <f t="shared" si="62"/>
        <v>2836379</v>
      </c>
      <c r="CK29" s="65"/>
      <c r="CL29" s="65">
        <v>902352</v>
      </c>
      <c r="CM29" s="65">
        <f t="shared" si="63"/>
        <v>902352</v>
      </c>
      <c r="CN29" s="65"/>
      <c r="CO29" s="65"/>
      <c r="CP29" s="65">
        <f t="shared" si="64"/>
        <v>0</v>
      </c>
      <c r="CQ29" s="65">
        <v>285768</v>
      </c>
      <c r="CR29" s="65">
        <v>1210055</v>
      </c>
      <c r="CS29" s="65">
        <f t="shared" si="65"/>
        <v>1495823</v>
      </c>
      <c r="CT29" s="65"/>
      <c r="CU29" s="65"/>
      <c r="CV29" s="65">
        <v>4707642</v>
      </c>
      <c r="CW29" s="65">
        <v>504999</v>
      </c>
      <c r="CX29" s="65">
        <v>1548816</v>
      </c>
      <c r="CY29" s="65">
        <f t="shared" si="66"/>
        <v>2053815</v>
      </c>
    </row>
    <row r="30" spans="1:103" ht="15" customHeight="1" x14ac:dyDescent="0.25">
      <c r="A30" s="66" t="s">
        <v>212</v>
      </c>
      <c r="B30" s="65"/>
      <c r="C30" s="65"/>
      <c r="D30" s="65">
        <f t="shared" si="38"/>
        <v>0</v>
      </c>
      <c r="E30" s="65"/>
      <c r="F30" s="65"/>
      <c r="G30" s="65">
        <f t="shared" si="39"/>
        <v>0</v>
      </c>
      <c r="H30" s="65"/>
      <c r="I30" s="65"/>
      <c r="J30" s="65">
        <f t="shared" si="70"/>
        <v>0</v>
      </c>
      <c r="K30" s="65"/>
      <c r="L30" s="65"/>
      <c r="M30" s="65">
        <f t="shared" si="40"/>
        <v>0</v>
      </c>
      <c r="N30" s="65"/>
      <c r="O30" s="65"/>
      <c r="P30" s="65">
        <f t="shared" si="41"/>
        <v>0</v>
      </c>
      <c r="Q30" s="65"/>
      <c r="R30" s="65"/>
      <c r="S30" s="65">
        <f t="shared" si="42"/>
        <v>0</v>
      </c>
      <c r="T30" s="65"/>
      <c r="U30" s="65"/>
      <c r="V30" s="65">
        <f t="shared" si="43"/>
        <v>0</v>
      </c>
      <c r="W30" s="65"/>
      <c r="X30" s="65"/>
      <c r="Y30" s="65">
        <f t="shared" si="44"/>
        <v>0</v>
      </c>
      <c r="Z30" s="65"/>
      <c r="AA30" s="65"/>
      <c r="AB30" s="65">
        <f t="shared" si="45"/>
        <v>0</v>
      </c>
      <c r="AC30" s="65"/>
      <c r="AD30" s="65"/>
      <c r="AE30" s="65">
        <f t="shared" si="46"/>
        <v>0</v>
      </c>
      <c r="AF30" s="65"/>
      <c r="AG30" s="65"/>
      <c r="AH30" s="65">
        <f t="shared" si="47"/>
        <v>0</v>
      </c>
      <c r="AI30" s="65"/>
      <c r="AJ30" s="65"/>
      <c r="AK30" s="65">
        <f t="shared" si="48"/>
        <v>0</v>
      </c>
      <c r="AL30" s="65"/>
      <c r="AM30" s="65"/>
      <c r="AN30" s="65">
        <f t="shared" si="49"/>
        <v>0</v>
      </c>
      <c r="AO30" s="65"/>
      <c r="AP30" s="65"/>
      <c r="AQ30" s="65">
        <f t="shared" si="50"/>
        <v>0</v>
      </c>
      <c r="AR30" s="65"/>
      <c r="AS30" s="65"/>
      <c r="AT30" s="65">
        <f t="shared" si="51"/>
        <v>0</v>
      </c>
      <c r="AU30" s="65">
        <v>553184</v>
      </c>
      <c r="AV30" s="65">
        <v>2148966</v>
      </c>
      <c r="AW30" s="65">
        <f t="shared" si="52"/>
        <v>2702150</v>
      </c>
      <c r="AX30" s="65"/>
      <c r="AY30" s="65"/>
      <c r="AZ30" s="65">
        <f t="shared" si="53"/>
        <v>0</v>
      </c>
      <c r="BA30" s="65"/>
      <c r="BB30" s="65"/>
      <c r="BC30" s="65">
        <f t="shared" si="54"/>
        <v>0</v>
      </c>
      <c r="BD30" s="65"/>
      <c r="BE30" s="65"/>
      <c r="BF30" s="65">
        <f t="shared" si="55"/>
        <v>0</v>
      </c>
      <c r="BG30" s="65"/>
      <c r="BH30" s="65"/>
      <c r="BI30" s="65">
        <f t="shared" si="56"/>
        <v>0</v>
      </c>
      <c r="BJ30" s="65"/>
      <c r="BK30" s="65"/>
      <c r="BL30" s="65">
        <f t="shared" si="67"/>
        <v>0</v>
      </c>
      <c r="BM30" s="65"/>
      <c r="BN30" s="65"/>
      <c r="BO30" s="65">
        <f t="shared" si="57"/>
        <v>0</v>
      </c>
      <c r="BP30" s="65"/>
      <c r="BQ30" s="65"/>
      <c r="BR30" s="65">
        <f t="shared" si="68"/>
        <v>0</v>
      </c>
      <c r="BS30" s="65"/>
      <c r="BT30" s="65"/>
      <c r="BU30" s="65">
        <f t="shared" si="58"/>
        <v>0</v>
      </c>
      <c r="BV30" s="65"/>
      <c r="BW30" s="65"/>
      <c r="BX30" s="65">
        <f t="shared" si="59"/>
        <v>0</v>
      </c>
      <c r="BY30" s="65"/>
      <c r="BZ30" s="65"/>
      <c r="CA30" s="65">
        <f t="shared" si="60"/>
        <v>0</v>
      </c>
      <c r="CB30" s="65"/>
      <c r="CC30" s="65"/>
      <c r="CD30" s="65">
        <f t="shared" si="71"/>
        <v>0</v>
      </c>
      <c r="CE30" s="65"/>
      <c r="CF30" s="65"/>
      <c r="CG30" s="65">
        <f t="shared" si="61"/>
        <v>0</v>
      </c>
      <c r="CH30" s="65"/>
      <c r="CI30" s="65"/>
      <c r="CJ30" s="65">
        <f t="shared" si="62"/>
        <v>0</v>
      </c>
      <c r="CK30" s="65"/>
      <c r="CL30" s="65"/>
      <c r="CM30" s="65">
        <f t="shared" si="63"/>
        <v>0</v>
      </c>
      <c r="CN30" s="65"/>
      <c r="CO30" s="65"/>
      <c r="CP30" s="65">
        <f t="shared" si="64"/>
        <v>0</v>
      </c>
      <c r="CQ30" s="65"/>
      <c r="CR30" s="65"/>
      <c r="CS30" s="65">
        <f t="shared" si="65"/>
        <v>0</v>
      </c>
      <c r="CT30" s="65"/>
      <c r="CU30" s="65"/>
      <c r="CV30" s="65">
        <f t="shared" si="69"/>
        <v>0</v>
      </c>
      <c r="CW30" s="65"/>
      <c r="CX30" s="65"/>
      <c r="CY30" s="65">
        <f t="shared" si="66"/>
        <v>0</v>
      </c>
    </row>
    <row r="31" spans="1:103" ht="15" customHeight="1" x14ac:dyDescent="0.25">
      <c r="A31" s="66" t="s">
        <v>213</v>
      </c>
      <c r="B31" s="65">
        <v>31147</v>
      </c>
      <c r="C31" s="65">
        <v>45531</v>
      </c>
      <c r="D31" s="65">
        <f t="shared" si="38"/>
        <v>76678</v>
      </c>
      <c r="E31" s="65"/>
      <c r="F31" s="65"/>
      <c r="G31" s="65">
        <f t="shared" si="39"/>
        <v>0</v>
      </c>
      <c r="H31" s="65"/>
      <c r="I31" s="65"/>
      <c r="J31" s="65">
        <v>9678200</v>
      </c>
      <c r="K31" s="65"/>
      <c r="L31" s="65"/>
      <c r="M31" s="65">
        <f t="shared" si="40"/>
        <v>0</v>
      </c>
      <c r="N31" s="65"/>
      <c r="O31" s="65">
        <v>83340</v>
      </c>
      <c r="P31" s="65">
        <f t="shared" si="41"/>
        <v>83340</v>
      </c>
      <c r="Q31" s="65">
        <v>36240</v>
      </c>
      <c r="R31" s="65">
        <v>263760</v>
      </c>
      <c r="S31" s="65">
        <f t="shared" si="42"/>
        <v>300000</v>
      </c>
      <c r="T31" s="65"/>
      <c r="U31" s="65"/>
      <c r="V31" s="65">
        <f t="shared" si="43"/>
        <v>0</v>
      </c>
      <c r="W31" s="65"/>
      <c r="X31" s="65"/>
      <c r="Y31" s="65">
        <f t="shared" si="44"/>
        <v>0</v>
      </c>
      <c r="Z31" s="65"/>
      <c r="AA31" s="65"/>
      <c r="AB31" s="65">
        <f t="shared" si="45"/>
        <v>0</v>
      </c>
      <c r="AC31" s="65">
        <v>1767</v>
      </c>
      <c r="AD31" s="65"/>
      <c r="AE31" s="65">
        <f t="shared" si="46"/>
        <v>1767</v>
      </c>
      <c r="AF31" s="65"/>
      <c r="AG31" s="65"/>
      <c r="AH31" s="65">
        <f t="shared" si="47"/>
        <v>0</v>
      </c>
      <c r="AI31" s="65">
        <v>330940</v>
      </c>
      <c r="AJ31" s="65">
        <v>1479723</v>
      </c>
      <c r="AK31" s="65">
        <f t="shared" si="48"/>
        <v>1810663</v>
      </c>
      <c r="AL31" s="65"/>
      <c r="AM31" s="65"/>
      <c r="AN31" s="65">
        <f t="shared" si="49"/>
        <v>0</v>
      </c>
      <c r="AO31" s="65">
        <v>258250</v>
      </c>
      <c r="AP31" s="65">
        <v>975062</v>
      </c>
      <c r="AQ31" s="65">
        <f t="shared" si="50"/>
        <v>1233312</v>
      </c>
      <c r="AR31" s="65"/>
      <c r="AS31" s="65"/>
      <c r="AT31" s="65">
        <f t="shared" si="51"/>
        <v>0</v>
      </c>
      <c r="AU31" s="65"/>
      <c r="AV31" s="65"/>
      <c r="AW31" s="65">
        <f t="shared" si="52"/>
        <v>0</v>
      </c>
      <c r="AX31" s="65"/>
      <c r="AY31" s="65"/>
      <c r="AZ31" s="65">
        <f t="shared" si="53"/>
        <v>0</v>
      </c>
      <c r="BA31" s="65"/>
      <c r="BB31" s="65"/>
      <c r="BC31" s="65">
        <f t="shared" si="54"/>
        <v>0</v>
      </c>
      <c r="BD31" s="65">
        <v>20698</v>
      </c>
      <c r="BE31" s="65">
        <v>114602</v>
      </c>
      <c r="BF31" s="65">
        <f t="shared" si="55"/>
        <v>135300</v>
      </c>
      <c r="BG31" s="65">
        <v>510000</v>
      </c>
      <c r="BH31" s="65">
        <v>698900</v>
      </c>
      <c r="BI31" s="65">
        <f t="shared" si="56"/>
        <v>1208900</v>
      </c>
      <c r="BJ31" s="65"/>
      <c r="BK31" s="65"/>
      <c r="BL31" s="65">
        <v>146922</v>
      </c>
      <c r="BM31" s="65"/>
      <c r="BN31" s="65"/>
      <c r="BO31" s="65">
        <f t="shared" si="57"/>
        <v>0</v>
      </c>
      <c r="BP31" s="65"/>
      <c r="BQ31" s="65"/>
      <c r="BR31" s="65">
        <f t="shared" si="68"/>
        <v>0</v>
      </c>
      <c r="BS31" s="65"/>
      <c r="BT31" s="65"/>
      <c r="BU31" s="65">
        <f t="shared" si="58"/>
        <v>0</v>
      </c>
      <c r="BV31" s="65"/>
      <c r="BW31" s="65"/>
      <c r="BX31" s="65">
        <f t="shared" si="59"/>
        <v>0</v>
      </c>
      <c r="BY31" s="65"/>
      <c r="BZ31" s="65"/>
      <c r="CA31" s="65">
        <f t="shared" si="60"/>
        <v>0</v>
      </c>
      <c r="CB31" s="65"/>
      <c r="CC31" s="65"/>
      <c r="CD31" s="65">
        <f t="shared" si="71"/>
        <v>0</v>
      </c>
      <c r="CE31" s="65">
        <v>39489</v>
      </c>
      <c r="CF31" s="65">
        <v>158992</v>
      </c>
      <c r="CG31" s="65">
        <f t="shared" si="61"/>
        <v>198481</v>
      </c>
      <c r="CH31" s="65">
        <v>718768</v>
      </c>
      <c r="CI31" s="65">
        <f>1465526+240432</f>
        <v>1705958</v>
      </c>
      <c r="CJ31" s="65">
        <f t="shared" si="62"/>
        <v>2424726</v>
      </c>
      <c r="CK31" s="65"/>
      <c r="CL31" s="65">
        <v>275126</v>
      </c>
      <c r="CM31" s="65">
        <f t="shared" si="63"/>
        <v>275126</v>
      </c>
      <c r="CN31" s="65"/>
      <c r="CO31" s="65"/>
      <c r="CP31" s="65">
        <f t="shared" si="64"/>
        <v>0</v>
      </c>
      <c r="CQ31" s="65">
        <v>511675</v>
      </c>
      <c r="CR31" s="65">
        <v>2166635</v>
      </c>
      <c r="CS31" s="65">
        <f t="shared" si="65"/>
        <v>2678310</v>
      </c>
      <c r="CT31" s="65"/>
      <c r="CU31" s="65"/>
      <c r="CV31" s="65">
        <f t="shared" si="69"/>
        <v>0</v>
      </c>
      <c r="CW31" s="65">
        <v>13524</v>
      </c>
      <c r="CX31" s="65">
        <v>41476</v>
      </c>
      <c r="CY31" s="65">
        <f t="shared" si="66"/>
        <v>55000</v>
      </c>
    </row>
    <row r="32" spans="1:103" ht="15" customHeight="1" x14ac:dyDescent="0.25">
      <c r="A32" s="66" t="s">
        <v>214</v>
      </c>
      <c r="B32" s="65"/>
      <c r="C32" s="65"/>
      <c r="D32" s="65">
        <f t="shared" si="38"/>
        <v>0</v>
      </c>
      <c r="E32" s="65"/>
      <c r="F32" s="65"/>
      <c r="G32" s="65">
        <f t="shared" si="39"/>
        <v>0</v>
      </c>
      <c r="H32" s="65"/>
      <c r="I32" s="65"/>
      <c r="J32" s="65">
        <f t="shared" si="70"/>
        <v>0</v>
      </c>
      <c r="K32" s="65"/>
      <c r="L32" s="65"/>
      <c r="M32" s="65">
        <f t="shared" si="40"/>
        <v>0</v>
      </c>
      <c r="N32" s="65"/>
      <c r="O32" s="65"/>
      <c r="P32" s="65">
        <f t="shared" si="41"/>
        <v>0</v>
      </c>
      <c r="Q32" s="65"/>
      <c r="R32" s="65"/>
      <c r="S32" s="65">
        <f t="shared" si="42"/>
        <v>0</v>
      </c>
      <c r="T32" s="65"/>
      <c r="U32" s="65"/>
      <c r="V32" s="65">
        <f t="shared" si="43"/>
        <v>0</v>
      </c>
      <c r="W32" s="65"/>
      <c r="X32" s="65"/>
      <c r="Y32" s="65">
        <f t="shared" si="44"/>
        <v>0</v>
      </c>
      <c r="Z32" s="65"/>
      <c r="AA32" s="65">
        <v>306000</v>
      </c>
      <c r="AB32" s="65">
        <f t="shared" si="45"/>
        <v>306000</v>
      </c>
      <c r="AC32" s="65"/>
      <c r="AD32" s="65"/>
      <c r="AE32" s="65">
        <f t="shared" si="46"/>
        <v>0</v>
      </c>
      <c r="AF32" s="65"/>
      <c r="AG32" s="65"/>
      <c r="AH32" s="65">
        <f t="shared" si="47"/>
        <v>0</v>
      </c>
      <c r="AI32" s="65"/>
      <c r="AJ32" s="65"/>
      <c r="AK32" s="65">
        <f t="shared" si="48"/>
        <v>0</v>
      </c>
      <c r="AL32" s="65"/>
      <c r="AM32" s="65"/>
      <c r="AN32" s="65">
        <f t="shared" si="49"/>
        <v>0</v>
      </c>
      <c r="AO32" s="65"/>
      <c r="AP32" s="65"/>
      <c r="AQ32" s="65">
        <f t="shared" si="50"/>
        <v>0</v>
      </c>
      <c r="AR32" s="65"/>
      <c r="AS32" s="65"/>
      <c r="AT32" s="65">
        <f t="shared" si="51"/>
        <v>0</v>
      </c>
      <c r="AU32" s="65"/>
      <c r="AV32" s="65"/>
      <c r="AW32" s="65">
        <f t="shared" si="52"/>
        <v>0</v>
      </c>
      <c r="AX32" s="65"/>
      <c r="AY32" s="65"/>
      <c r="AZ32" s="65">
        <f t="shared" si="53"/>
        <v>0</v>
      </c>
      <c r="BA32" s="65"/>
      <c r="BB32" s="65"/>
      <c r="BC32" s="65">
        <f t="shared" si="54"/>
        <v>0</v>
      </c>
      <c r="BD32" s="65"/>
      <c r="BE32" s="65"/>
      <c r="BF32" s="65">
        <f t="shared" si="55"/>
        <v>0</v>
      </c>
      <c r="BG32" s="65"/>
      <c r="BH32" s="65"/>
      <c r="BI32" s="65">
        <f>BH32+BG32</f>
        <v>0</v>
      </c>
      <c r="BJ32" s="65"/>
      <c r="BK32" s="65"/>
      <c r="BL32" s="65">
        <f t="shared" si="67"/>
        <v>0</v>
      </c>
      <c r="BM32" s="65"/>
      <c r="BN32" s="65"/>
      <c r="BO32" s="65">
        <f t="shared" si="57"/>
        <v>0</v>
      </c>
      <c r="BP32" s="65"/>
      <c r="BQ32" s="65"/>
      <c r="BR32" s="65">
        <f t="shared" si="68"/>
        <v>0</v>
      </c>
      <c r="BS32" s="65">
        <v>13219</v>
      </c>
      <c r="BT32" s="65">
        <v>22481</v>
      </c>
      <c r="BU32" s="65">
        <f t="shared" si="58"/>
        <v>35700</v>
      </c>
      <c r="BV32" s="65"/>
      <c r="BW32" s="65"/>
      <c r="BX32" s="65">
        <f t="shared" si="59"/>
        <v>0</v>
      </c>
      <c r="BY32" s="65"/>
      <c r="BZ32" s="65"/>
      <c r="CA32" s="65">
        <f t="shared" si="60"/>
        <v>0</v>
      </c>
      <c r="CB32" s="65"/>
      <c r="CC32" s="65"/>
      <c r="CD32" s="65">
        <f t="shared" si="71"/>
        <v>0</v>
      </c>
      <c r="CE32" s="65">
        <v>29844</v>
      </c>
      <c r="CF32" s="65">
        <v>120156</v>
      </c>
      <c r="CG32" s="65">
        <f t="shared" si="61"/>
        <v>150000</v>
      </c>
      <c r="CH32" s="65"/>
      <c r="CI32" s="65"/>
      <c r="CJ32" s="65">
        <f t="shared" si="62"/>
        <v>0</v>
      </c>
      <c r="CK32" s="65"/>
      <c r="CL32" s="65"/>
      <c r="CM32" s="65">
        <f t="shared" si="63"/>
        <v>0</v>
      </c>
      <c r="CN32" s="65"/>
      <c r="CO32" s="65"/>
      <c r="CP32" s="65">
        <f t="shared" si="64"/>
        <v>0</v>
      </c>
      <c r="CQ32" s="65"/>
      <c r="CR32" s="65"/>
      <c r="CS32" s="65">
        <f t="shared" si="65"/>
        <v>0</v>
      </c>
      <c r="CT32" s="65"/>
      <c r="CU32" s="65"/>
      <c r="CV32" s="65">
        <f t="shared" si="69"/>
        <v>0</v>
      </c>
      <c r="CW32" s="65"/>
      <c r="CX32" s="65"/>
      <c r="CY32" s="65">
        <f t="shared" si="66"/>
        <v>0</v>
      </c>
    </row>
    <row r="33" spans="1:103" ht="15" customHeight="1" x14ac:dyDescent="0.25">
      <c r="A33" s="66" t="s">
        <v>215</v>
      </c>
      <c r="B33" s="65"/>
      <c r="C33" s="65"/>
      <c r="D33" s="65">
        <f t="shared" si="38"/>
        <v>0</v>
      </c>
      <c r="E33" s="65"/>
      <c r="F33" s="65"/>
      <c r="G33" s="65">
        <f t="shared" si="39"/>
        <v>0</v>
      </c>
      <c r="H33" s="65"/>
      <c r="I33" s="65"/>
      <c r="J33" s="65">
        <f t="shared" si="70"/>
        <v>0</v>
      </c>
      <c r="K33" s="65"/>
      <c r="L33" s="65"/>
      <c r="M33" s="65">
        <f t="shared" si="40"/>
        <v>0</v>
      </c>
      <c r="N33" s="65"/>
      <c r="O33" s="65"/>
      <c r="P33" s="65">
        <f t="shared" si="41"/>
        <v>0</v>
      </c>
      <c r="Q33" s="65"/>
      <c r="R33" s="65"/>
      <c r="S33" s="65">
        <f t="shared" si="42"/>
        <v>0</v>
      </c>
      <c r="T33" s="65"/>
      <c r="U33" s="65"/>
      <c r="V33" s="65">
        <f t="shared" si="43"/>
        <v>0</v>
      </c>
      <c r="W33" s="65"/>
      <c r="X33" s="65"/>
      <c r="Y33" s="65">
        <f t="shared" si="44"/>
        <v>0</v>
      </c>
      <c r="Z33" s="65"/>
      <c r="AA33" s="65"/>
      <c r="AB33" s="65">
        <f t="shared" si="45"/>
        <v>0</v>
      </c>
      <c r="AC33" s="65"/>
      <c r="AD33" s="65"/>
      <c r="AE33" s="65">
        <f t="shared" si="46"/>
        <v>0</v>
      </c>
      <c r="AF33" s="65"/>
      <c r="AG33" s="65"/>
      <c r="AH33" s="65">
        <f t="shared" si="47"/>
        <v>0</v>
      </c>
      <c r="AI33" s="65"/>
      <c r="AJ33" s="65"/>
      <c r="AK33" s="65">
        <f t="shared" si="48"/>
        <v>0</v>
      </c>
      <c r="AL33" s="65"/>
      <c r="AM33" s="65"/>
      <c r="AN33" s="65">
        <f t="shared" si="49"/>
        <v>0</v>
      </c>
      <c r="AO33" s="65"/>
      <c r="AP33" s="65"/>
      <c r="AQ33" s="65">
        <f t="shared" si="50"/>
        <v>0</v>
      </c>
      <c r="AR33" s="65"/>
      <c r="AS33" s="65"/>
      <c r="AT33" s="65">
        <f t="shared" si="51"/>
        <v>0</v>
      </c>
      <c r="AU33" s="65"/>
      <c r="AV33" s="65"/>
      <c r="AW33" s="65">
        <f t="shared" si="52"/>
        <v>0</v>
      </c>
      <c r="AX33" s="65"/>
      <c r="AY33" s="65"/>
      <c r="AZ33" s="65">
        <f t="shared" si="53"/>
        <v>0</v>
      </c>
      <c r="BA33" s="65"/>
      <c r="BB33" s="65"/>
      <c r="BC33" s="65">
        <f t="shared" si="54"/>
        <v>0</v>
      </c>
      <c r="BD33" s="65"/>
      <c r="BE33" s="65"/>
      <c r="BF33" s="65">
        <f t="shared" si="55"/>
        <v>0</v>
      </c>
      <c r="BG33" s="65"/>
      <c r="BH33" s="65"/>
      <c r="BI33" s="65">
        <f t="shared" si="56"/>
        <v>0</v>
      </c>
      <c r="BJ33" s="65"/>
      <c r="BK33" s="65"/>
      <c r="BL33" s="65">
        <f t="shared" si="67"/>
        <v>0</v>
      </c>
      <c r="BM33" s="65"/>
      <c r="BN33" s="65"/>
      <c r="BO33" s="65">
        <f t="shared" si="57"/>
        <v>0</v>
      </c>
      <c r="BP33" s="65"/>
      <c r="BQ33" s="65"/>
      <c r="BR33" s="65">
        <f t="shared" si="68"/>
        <v>0</v>
      </c>
      <c r="BS33" s="65"/>
      <c r="BT33" s="65"/>
      <c r="BU33" s="65">
        <f t="shared" si="58"/>
        <v>0</v>
      </c>
      <c r="BV33" s="65"/>
      <c r="BW33" s="65"/>
      <c r="BX33" s="65">
        <f t="shared" si="59"/>
        <v>0</v>
      </c>
      <c r="BY33" s="65"/>
      <c r="BZ33" s="65"/>
      <c r="CA33" s="65">
        <f t="shared" si="60"/>
        <v>0</v>
      </c>
      <c r="CB33" s="65"/>
      <c r="CC33" s="65"/>
      <c r="CD33" s="65">
        <f t="shared" si="71"/>
        <v>0</v>
      </c>
      <c r="CE33" s="65"/>
      <c r="CF33" s="65"/>
      <c r="CG33" s="65">
        <f t="shared" si="61"/>
        <v>0</v>
      </c>
      <c r="CH33" s="65"/>
      <c r="CI33" s="65"/>
      <c r="CJ33" s="65">
        <f t="shared" si="62"/>
        <v>0</v>
      </c>
      <c r="CK33" s="65"/>
      <c r="CL33" s="65"/>
      <c r="CM33" s="65">
        <f t="shared" si="63"/>
        <v>0</v>
      </c>
      <c r="CN33" s="65"/>
      <c r="CO33" s="65"/>
      <c r="CP33" s="65">
        <f t="shared" si="64"/>
        <v>0</v>
      </c>
      <c r="CQ33" s="65"/>
      <c r="CR33" s="65"/>
      <c r="CS33" s="65">
        <f t="shared" si="65"/>
        <v>0</v>
      </c>
      <c r="CT33" s="65"/>
      <c r="CU33" s="65"/>
      <c r="CV33" s="65">
        <f t="shared" si="69"/>
        <v>0</v>
      </c>
      <c r="CW33" s="65"/>
      <c r="CX33" s="65"/>
      <c r="CY33" s="65">
        <f t="shared" si="66"/>
        <v>0</v>
      </c>
    </row>
    <row r="34" spans="1:103" ht="15" customHeight="1" x14ac:dyDescent="0.25">
      <c r="A34" s="66" t="s">
        <v>207</v>
      </c>
      <c r="B34" s="65">
        <f>80902+15233</f>
        <v>96135</v>
      </c>
      <c r="C34" s="65">
        <f>118265+22267</f>
        <v>140532</v>
      </c>
      <c r="D34" s="65">
        <f t="shared" si="38"/>
        <v>236667</v>
      </c>
      <c r="E34" s="65"/>
      <c r="F34" s="65">
        <f>251497+150142</f>
        <v>401639</v>
      </c>
      <c r="G34" s="65">
        <f t="shared" si="39"/>
        <v>401639</v>
      </c>
      <c r="H34" s="65"/>
      <c r="I34" s="65"/>
      <c r="J34" s="65">
        <v>750250</v>
      </c>
      <c r="K34" s="65"/>
      <c r="L34" s="65">
        <v>1019510</v>
      </c>
      <c r="M34" s="65">
        <f t="shared" si="40"/>
        <v>1019510</v>
      </c>
      <c r="N34" s="65">
        <v>1755871</v>
      </c>
      <c r="O34" s="65">
        <v>9394333</v>
      </c>
      <c r="P34" s="65">
        <f t="shared" si="41"/>
        <v>11150204</v>
      </c>
      <c r="Q34" s="65">
        <v>289101</v>
      </c>
      <c r="R34" s="65">
        <v>2104122</v>
      </c>
      <c r="S34" s="65">
        <f t="shared" si="42"/>
        <v>2393223</v>
      </c>
      <c r="T34" s="65">
        <v>107237</v>
      </c>
      <c r="U34" s="65">
        <v>1092116</v>
      </c>
      <c r="V34" s="65">
        <f t="shared" si="43"/>
        <v>1199353</v>
      </c>
      <c r="W34" s="65"/>
      <c r="X34" s="65">
        <v>250769</v>
      </c>
      <c r="Y34" s="65">
        <f t="shared" si="44"/>
        <v>250769</v>
      </c>
      <c r="Z34" s="65"/>
      <c r="AA34" s="65"/>
      <c r="AB34" s="65">
        <f t="shared" si="45"/>
        <v>0</v>
      </c>
      <c r="AC34" s="65">
        <v>118517</v>
      </c>
      <c r="AD34" s="65"/>
      <c r="AE34" s="65">
        <f t="shared" si="46"/>
        <v>118517</v>
      </c>
      <c r="AF34" s="65">
        <v>651763.03</v>
      </c>
      <c r="AG34" s="65">
        <v>937902.89</v>
      </c>
      <c r="AH34" s="65">
        <f t="shared" si="47"/>
        <v>1589665.92</v>
      </c>
      <c r="AI34" s="65">
        <v>161770</v>
      </c>
      <c r="AJ34" s="65">
        <v>723319</v>
      </c>
      <c r="AK34" s="65">
        <f t="shared" si="48"/>
        <v>885089</v>
      </c>
      <c r="AL34" s="65">
        <v>601203</v>
      </c>
      <c r="AM34" s="65">
        <v>850312</v>
      </c>
      <c r="AN34" s="65">
        <f t="shared" si="49"/>
        <v>1451515</v>
      </c>
      <c r="AO34" s="65">
        <v>1137960</v>
      </c>
      <c r="AP34" s="65">
        <v>4296540</v>
      </c>
      <c r="AQ34" s="65">
        <f t="shared" si="50"/>
        <v>5434500</v>
      </c>
      <c r="AR34" s="65">
        <v>1248396</v>
      </c>
      <c r="AS34" s="65">
        <v>4121943</v>
      </c>
      <c r="AT34" s="65">
        <f t="shared" si="51"/>
        <v>5370339</v>
      </c>
      <c r="AU34" s="65">
        <v>280668</v>
      </c>
      <c r="AV34" s="65">
        <v>1090320</v>
      </c>
      <c r="AW34" s="65">
        <f t="shared" si="52"/>
        <v>1370988</v>
      </c>
      <c r="AX34" s="65">
        <v>3212</v>
      </c>
      <c r="AY34" s="65">
        <v>7116</v>
      </c>
      <c r="AZ34" s="65">
        <f t="shared" si="53"/>
        <v>10328</v>
      </c>
      <c r="BA34" s="65">
        <v>269062</v>
      </c>
      <c r="BB34" s="65">
        <v>634540</v>
      </c>
      <c r="BC34" s="65">
        <f t="shared" si="54"/>
        <v>903602</v>
      </c>
      <c r="BD34" s="65">
        <v>46028</v>
      </c>
      <c r="BE34" s="65">
        <v>254846</v>
      </c>
      <c r="BF34" s="65">
        <f t="shared" si="55"/>
        <v>300874</v>
      </c>
      <c r="BG34" s="65"/>
      <c r="BH34" s="65">
        <v>150118</v>
      </c>
      <c r="BI34" s="65">
        <f t="shared" si="56"/>
        <v>150118</v>
      </c>
      <c r="BJ34" s="65"/>
      <c r="BK34" s="65"/>
      <c r="BL34" s="65">
        <v>45412</v>
      </c>
      <c r="BM34" s="65">
        <v>5611541</v>
      </c>
      <c r="BN34" s="65">
        <v>11453839</v>
      </c>
      <c r="BO34" s="65">
        <f t="shared" si="57"/>
        <v>17065380</v>
      </c>
      <c r="BP34" s="65"/>
      <c r="BQ34" s="65"/>
      <c r="BR34" s="65">
        <v>6976902</v>
      </c>
      <c r="BS34" s="65">
        <v>56108</v>
      </c>
      <c r="BT34" s="65">
        <v>95423</v>
      </c>
      <c r="BU34" s="65">
        <f t="shared" si="58"/>
        <v>151531</v>
      </c>
      <c r="BV34" s="65">
        <v>242381</v>
      </c>
      <c r="BW34" s="65">
        <v>1437308</v>
      </c>
      <c r="BX34" s="65">
        <f t="shared" si="59"/>
        <v>1679689</v>
      </c>
      <c r="BY34" s="65"/>
      <c r="BZ34" s="65"/>
      <c r="CA34" s="65">
        <f t="shared" si="60"/>
        <v>0</v>
      </c>
      <c r="CB34" s="65"/>
      <c r="CC34" s="65"/>
      <c r="CD34" s="65">
        <f>249834+751676</f>
        <v>1001510</v>
      </c>
      <c r="CE34" s="65">
        <v>685632</v>
      </c>
      <c r="CF34" s="65">
        <v>2760491</v>
      </c>
      <c r="CG34" s="65">
        <f t="shared" si="61"/>
        <v>3446123</v>
      </c>
      <c r="CH34" s="65">
        <v>150000</v>
      </c>
      <c r="CI34" s="65">
        <f>5887303-100190</f>
        <v>5787113</v>
      </c>
      <c r="CJ34" s="65">
        <f t="shared" si="62"/>
        <v>5937113</v>
      </c>
      <c r="CK34" s="65">
        <v>149825</v>
      </c>
      <c r="CL34" s="65">
        <v>14690156</v>
      </c>
      <c r="CM34" s="65">
        <f t="shared" si="63"/>
        <v>14839981</v>
      </c>
      <c r="CN34" s="65">
        <v>121833</v>
      </c>
      <c r="CO34" s="65">
        <v>193388</v>
      </c>
      <c r="CP34" s="65">
        <f t="shared" si="64"/>
        <v>315221</v>
      </c>
      <c r="CQ34" s="65">
        <v>1020502</v>
      </c>
      <c r="CR34" s="65">
        <v>4321212</v>
      </c>
      <c r="CS34" s="65">
        <f t="shared" si="65"/>
        <v>5341714</v>
      </c>
      <c r="CT34" s="65"/>
      <c r="CU34" s="65"/>
      <c r="CV34" s="65">
        <v>9851476</v>
      </c>
      <c r="CW34" s="65">
        <v>338470</v>
      </c>
      <c r="CX34" s="65">
        <v>1038075</v>
      </c>
      <c r="CY34" s="65">
        <f t="shared" si="66"/>
        <v>1376545</v>
      </c>
    </row>
    <row r="35" spans="1:103" x14ac:dyDescent="0.25">
      <c r="A35" s="66" t="s">
        <v>208</v>
      </c>
      <c r="B35" s="65">
        <v>35797</v>
      </c>
      <c r="C35" s="65">
        <v>52329</v>
      </c>
      <c r="D35" s="65">
        <f t="shared" si="38"/>
        <v>88126</v>
      </c>
      <c r="E35" s="65"/>
      <c r="F35" s="65"/>
      <c r="G35" s="65">
        <f t="shared" si="39"/>
        <v>0</v>
      </c>
      <c r="H35" s="65"/>
      <c r="I35" s="65"/>
      <c r="J35" s="65">
        <v>100000</v>
      </c>
      <c r="K35" s="65"/>
      <c r="L35" s="65">
        <v>350000</v>
      </c>
      <c r="M35" s="65">
        <f t="shared" si="40"/>
        <v>350000</v>
      </c>
      <c r="N35" s="65"/>
      <c r="O35" s="65"/>
      <c r="P35" s="65">
        <f t="shared" si="41"/>
        <v>0</v>
      </c>
      <c r="Q35" s="65">
        <f>108681-22952</f>
        <v>85729</v>
      </c>
      <c r="R35" s="65">
        <f>790994-167048</f>
        <v>623946</v>
      </c>
      <c r="S35" s="65">
        <f t="shared" si="42"/>
        <v>709675</v>
      </c>
      <c r="T35" s="65">
        <v>124106</v>
      </c>
      <c r="U35" s="65">
        <v>1263918</v>
      </c>
      <c r="V35" s="65">
        <f t="shared" si="43"/>
        <v>1388024</v>
      </c>
      <c r="W35" s="65"/>
      <c r="X35" s="65">
        <v>50000</v>
      </c>
      <c r="Y35" s="65">
        <f t="shared" si="44"/>
        <v>50000</v>
      </c>
      <c r="Z35" s="65">
        <v>99626</v>
      </c>
      <c r="AA35" s="65"/>
      <c r="AB35" s="65">
        <f t="shared" si="45"/>
        <v>99626</v>
      </c>
      <c r="AC35" s="65">
        <v>67332</v>
      </c>
      <c r="AD35" s="65"/>
      <c r="AE35" s="65">
        <f t="shared" si="46"/>
        <v>67332</v>
      </c>
      <c r="AF35" s="65">
        <v>347863.32</v>
      </c>
      <c r="AG35" s="65">
        <v>500583.81</v>
      </c>
      <c r="AH35" s="65">
        <f t="shared" si="47"/>
        <v>848447.13</v>
      </c>
      <c r="AI35" s="65">
        <v>61808</v>
      </c>
      <c r="AJ35" s="65">
        <v>276360</v>
      </c>
      <c r="AK35" s="65">
        <f t="shared" si="48"/>
        <v>338168</v>
      </c>
      <c r="AL35" s="65"/>
      <c r="AM35" s="65"/>
      <c r="AN35" s="65">
        <f t="shared" si="49"/>
        <v>0</v>
      </c>
      <c r="AO35" s="65">
        <v>26698</v>
      </c>
      <c r="AP35" s="65">
        <v>100802</v>
      </c>
      <c r="AQ35" s="65">
        <f t="shared" si="50"/>
        <v>127500</v>
      </c>
      <c r="AR35" s="65"/>
      <c r="AS35" s="65"/>
      <c r="AT35" s="65">
        <f t="shared" si="51"/>
        <v>0</v>
      </c>
      <c r="AU35" s="65">
        <f>255952-18426</f>
        <v>237526</v>
      </c>
      <c r="AV35" s="65">
        <f>994302-71576</f>
        <v>922726</v>
      </c>
      <c r="AW35" s="65">
        <f t="shared" si="52"/>
        <v>1160252</v>
      </c>
      <c r="AX35" s="65"/>
      <c r="AY35" s="65"/>
      <c r="AZ35" s="65">
        <f t="shared" si="53"/>
        <v>0</v>
      </c>
      <c r="BA35" s="65"/>
      <c r="BB35" s="65"/>
      <c r="BC35" s="65">
        <f t="shared" si="54"/>
        <v>0</v>
      </c>
      <c r="BD35" s="65">
        <v>6113</v>
      </c>
      <c r="BE35" s="65">
        <v>33846</v>
      </c>
      <c r="BF35" s="65">
        <f t="shared" si="55"/>
        <v>39959</v>
      </c>
      <c r="BG35" s="65"/>
      <c r="BH35" s="65"/>
      <c r="BI35" s="65">
        <f t="shared" si="56"/>
        <v>0</v>
      </c>
      <c r="BJ35" s="65"/>
      <c r="BK35" s="65"/>
      <c r="BL35" s="65">
        <f t="shared" si="67"/>
        <v>0</v>
      </c>
      <c r="BM35" s="65">
        <v>248311</v>
      </c>
      <c r="BN35" s="65">
        <v>506834</v>
      </c>
      <c r="BO35" s="65">
        <f t="shared" si="57"/>
        <v>755145</v>
      </c>
      <c r="BP35" s="65"/>
      <c r="BQ35" s="65"/>
      <c r="BR35" s="65">
        <f t="shared" si="68"/>
        <v>0</v>
      </c>
      <c r="BS35" s="65"/>
      <c r="BT35" s="65"/>
      <c r="BU35" s="65">
        <f t="shared" si="58"/>
        <v>0</v>
      </c>
      <c r="BV35" s="65">
        <f>219489-30303</f>
        <v>189186</v>
      </c>
      <c r="BW35" s="65">
        <f>1301584-179697</f>
        <v>1121887</v>
      </c>
      <c r="BX35" s="65">
        <f t="shared" si="59"/>
        <v>1311073</v>
      </c>
      <c r="BY35" s="65"/>
      <c r="BZ35" s="65"/>
      <c r="CA35" s="65">
        <f t="shared" si="60"/>
        <v>0</v>
      </c>
      <c r="CB35" s="65"/>
      <c r="CC35" s="65"/>
      <c r="CD35" s="65">
        <v>0</v>
      </c>
      <c r="CE35" s="65">
        <v>191850</v>
      </c>
      <c r="CF35" s="65">
        <v>772428</v>
      </c>
      <c r="CG35" s="65">
        <f t="shared" si="61"/>
        <v>964278</v>
      </c>
      <c r="CH35" s="65"/>
      <c r="CI35" s="65"/>
      <c r="CJ35" s="65">
        <f t="shared" si="62"/>
        <v>0</v>
      </c>
      <c r="CK35" s="65"/>
      <c r="CL35" s="65"/>
      <c r="CM35" s="65">
        <f t="shared" si="63"/>
        <v>0</v>
      </c>
      <c r="CN35" s="65"/>
      <c r="CO35" s="65"/>
      <c r="CP35" s="65">
        <f t="shared" si="64"/>
        <v>0</v>
      </c>
      <c r="CQ35" s="65">
        <v>76497</v>
      </c>
      <c r="CR35" s="65">
        <v>323921</v>
      </c>
      <c r="CS35" s="65">
        <f t="shared" si="65"/>
        <v>400418</v>
      </c>
      <c r="CT35" s="65"/>
      <c r="CU35" s="65"/>
      <c r="CV35" s="65">
        <v>1640523</v>
      </c>
      <c r="CW35" s="65">
        <v>64545</v>
      </c>
      <c r="CX35" s="65">
        <v>197958</v>
      </c>
      <c r="CY35" s="65">
        <f t="shared" si="66"/>
        <v>262503</v>
      </c>
    </row>
    <row r="36" spans="1:103" s="68" customFormat="1" x14ac:dyDescent="0.25">
      <c r="A36" s="64" t="s">
        <v>211</v>
      </c>
      <c r="B36" s="67">
        <f>SUM(B22:B35)</f>
        <v>427170</v>
      </c>
      <c r="C36" s="67">
        <f t="shared" ref="C36:BN36" si="72">SUM(C22:C35)</f>
        <v>624451</v>
      </c>
      <c r="D36" s="67">
        <f t="shared" si="72"/>
        <v>1051621</v>
      </c>
      <c r="E36" s="67">
        <f t="shared" si="72"/>
        <v>228194</v>
      </c>
      <c r="F36" s="67">
        <f t="shared" si="72"/>
        <v>1074866</v>
      </c>
      <c r="G36" s="67">
        <f t="shared" si="72"/>
        <v>1303060</v>
      </c>
      <c r="H36" s="67">
        <f t="shared" si="72"/>
        <v>0</v>
      </c>
      <c r="I36" s="67">
        <f t="shared" si="72"/>
        <v>0</v>
      </c>
      <c r="J36" s="67">
        <f t="shared" si="72"/>
        <v>41509691</v>
      </c>
      <c r="K36" s="67">
        <f t="shared" si="72"/>
        <v>0</v>
      </c>
      <c r="L36" s="67">
        <f t="shared" si="72"/>
        <v>3018163</v>
      </c>
      <c r="M36" s="67">
        <f t="shared" si="72"/>
        <v>3018163</v>
      </c>
      <c r="N36" s="67">
        <f t="shared" si="72"/>
        <v>4812871</v>
      </c>
      <c r="O36" s="67">
        <f t="shared" si="72"/>
        <v>24643493</v>
      </c>
      <c r="P36" s="67">
        <f t="shared" si="72"/>
        <v>29456364</v>
      </c>
      <c r="Q36" s="67">
        <f t="shared" si="72"/>
        <v>861134</v>
      </c>
      <c r="R36" s="67">
        <f t="shared" si="72"/>
        <v>6267452</v>
      </c>
      <c r="S36" s="67">
        <f t="shared" si="72"/>
        <v>7128586</v>
      </c>
      <c r="T36" s="67">
        <f t="shared" si="72"/>
        <v>1016740</v>
      </c>
      <c r="U36" s="67">
        <f t="shared" si="72"/>
        <v>10354645</v>
      </c>
      <c r="V36" s="67">
        <f t="shared" si="72"/>
        <v>11371385</v>
      </c>
      <c r="W36" s="67">
        <f t="shared" si="72"/>
        <v>286502</v>
      </c>
      <c r="X36" s="67">
        <f t="shared" si="72"/>
        <v>798415</v>
      </c>
      <c r="Y36" s="67">
        <f t="shared" si="72"/>
        <v>1084917</v>
      </c>
      <c r="Z36" s="67">
        <f t="shared" si="72"/>
        <v>118931</v>
      </c>
      <c r="AA36" s="67">
        <f t="shared" si="72"/>
        <v>550360</v>
      </c>
      <c r="AB36" s="67">
        <f t="shared" si="72"/>
        <v>669291</v>
      </c>
      <c r="AC36" s="67">
        <f t="shared" si="72"/>
        <v>574592</v>
      </c>
      <c r="AD36" s="67">
        <f t="shared" si="72"/>
        <v>0</v>
      </c>
      <c r="AE36" s="67">
        <f t="shared" si="72"/>
        <v>574592</v>
      </c>
      <c r="AF36" s="67">
        <f t="shared" si="72"/>
        <v>5737784.7100000009</v>
      </c>
      <c r="AG36" s="67">
        <f t="shared" si="72"/>
        <v>8256812.1399999987</v>
      </c>
      <c r="AH36" s="67">
        <f t="shared" si="72"/>
        <v>13994596.850000001</v>
      </c>
      <c r="AI36" s="67">
        <f t="shared" si="72"/>
        <v>961792</v>
      </c>
      <c r="AJ36" s="67">
        <f t="shared" si="72"/>
        <v>4300437</v>
      </c>
      <c r="AK36" s="67">
        <f t="shared" si="72"/>
        <v>5262229</v>
      </c>
      <c r="AL36" s="67">
        <f t="shared" si="72"/>
        <v>751037</v>
      </c>
      <c r="AM36" s="67">
        <f t="shared" si="72"/>
        <v>1680003</v>
      </c>
      <c r="AN36" s="67">
        <f t="shared" si="72"/>
        <v>2431040</v>
      </c>
      <c r="AO36" s="67">
        <f t="shared" si="72"/>
        <v>2924931</v>
      </c>
      <c r="AP36" s="67">
        <f t="shared" si="72"/>
        <v>11043520</v>
      </c>
      <c r="AQ36" s="67">
        <f t="shared" si="72"/>
        <v>13968451</v>
      </c>
      <c r="AR36" s="67">
        <f t="shared" si="72"/>
        <v>6696216</v>
      </c>
      <c r="AS36" s="67">
        <f t="shared" si="72"/>
        <v>21074775</v>
      </c>
      <c r="AT36" s="67">
        <f t="shared" si="72"/>
        <v>27770991</v>
      </c>
      <c r="AU36" s="67">
        <f t="shared" si="72"/>
        <v>3542660</v>
      </c>
      <c r="AV36" s="67">
        <f t="shared" si="72"/>
        <v>13762260</v>
      </c>
      <c r="AW36" s="67">
        <f t="shared" si="72"/>
        <v>17304920</v>
      </c>
      <c r="AX36" s="67">
        <f t="shared" si="72"/>
        <v>297874</v>
      </c>
      <c r="AY36" s="67">
        <f t="shared" si="72"/>
        <v>660003</v>
      </c>
      <c r="AZ36" s="67">
        <f t="shared" si="72"/>
        <v>957877</v>
      </c>
      <c r="BA36" s="67">
        <f t="shared" si="72"/>
        <v>1803652</v>
      </c>
      <c r="BB36" s="67">
        <f t="shared" si="72"/>
        <v>4234569</v>
      </c>
      <c r="BC36" s="67">
        <f t="shared" si="72"/>
        <v>6038221</v>
      </c>
      <c r="BD36" s="67">
        <f t="shared" si="72"/>
        <v>159540</v>
      </c>
      <c r="BE36" s="67">
        <f t="shared" si="72"/>
        <v>883335</v>
      </c>
      <c r="BF36" s="67">
        <f t="shared" si="72"/>
        <v>1042875</v>
      </c>
      <c r="BG36" s="67">
        <f t="shared" si="72"/>
        <v>637321</v>
      </c>
      <c r="BH36" s="67">
        <f t="shared" si="72"/>
        <v>2404195</v>
      </c>
      <c r="BI36" s="67">
        <f t="shared" si="72"/>
        <v>3041516</v>
      </c>
      <c r="BJ36" s="67">
        <f t="shared" si="72"/>
        <v>0</v>
      </c>
      <c r="BK36" s="67">
        <f t="shared" si="72"/>
        <v>0</v>
      </c>
      <c r="BL36" s="67">
        <f t="shared" si="72"/>
        <v>493253</v>
      </c>
      <c r="BM36" s="67">
        <f t="shared" si="72"/>
        <v>15739313</v>
      </c>
      <c r="BN36" s="67">
        <f t="shared" si="72"/>
        <v>32125858</v>
      </c>
      <c r="BO36" s="67">
        <f t="shared" ref="BO36:CY36" si="73">SUM(BO22:BO35)</f>
        <v>47865171</v>
      </c>
      <c r="BP36" s="67">
        <f t="shared" si="73"/>
        <v>0</v>
      </c>
      <c r="BQ36" s="67">
        <f t="shared" si="73"/>
        <v>0</v>
      </c>
      <c r="BR36" s="67">
        <f t="shared" si="73"/>
        <v>17838222</v>
      </c>
      <c r="BS36" s="67">
        <f t="shared" si="73"/>
        <v>454892</v>
      </c>
      <c r="BT36" s="67">
        <f t="shared" si="73"/>
        <v>773632</v>
      </c>
      <c r="BU36" s="67">
        <f t="shared" si="73"/>
        <v>1228524</v>
      </c>
      <c r="BV36" s="67">
        <f t="shared" si="73"/>
        <v>3016721</v>
      </c>
      <c r="BW36" s="67">
        <f t="shared" si="73"/>
        <v>17889004</v>
      </c>
      <c r="BX36" s="67">
        <f t="shared" si="73"/>
        <v>20905725</v>
      </c>
      <c r="BY36" s="67">
        <f t="shared" ref="BY36:CA36" si="74">SUM(BY22:BY35)</f>
        <v>1408</v>
      </c>
      <c r="BZ36" s="67">
        <f t="shared" si="74"/>
        <v>3632</v>
      </c>
      <c r="CA36" s="67">
        <f t="shared" si="74"/>
        <v>5040</v>
      </c>
      <c r="CB36" s="67">
        <f t="shared" si="73"/>
        <v>0</v>
      </c>
      <c r="CC36" s="67">
        <f t="shared" si="73"/>
        <v>0</v>
      </c>
      <c r="CD36" s="67">
        <f t="shared" si="73"/>
        <v>2941967</v>
      </c>
      <c r="CE36" s="67">
        <f t="shared" si="73"/>
        <v>2491218</v>
      </c>
      <c r="CF36" s="67">
        <f t="shared" si="73"/>
        <v>10030143</v>
      </c>
      <c r="CG36" s="67">
        <f t="shared" si="73"/>
        <v>12521361</v>
      </c>
      <c r="CH36" s="67">
        <f t="shared" si="73"/>
        <v>1118461</v>
      </c>
      <c r="CI36" s="67">
        <f t="shared" si="73"/>
        <v>13531413</v>
      </c>
      <c r="CJ36" s="67">
        <f t="shared" si="73"/>
        <v>14649874</v>
      </c>
      <c r="CK36" s="67">
        <f t="shared" si="73"/>
        <v>150582</v>
      </c>
      <c r="CL36" s="67">
        <f t="shared" si="73"/>
        <v>16397364</v>
      </c>
      <c r="CM36" s="67">
        <f t="shared" si="73"/>
        <v>16547946</v>
      </c>
      <c r="CN36" s="67">
        <f t="shared" si="73"/>
        <v>855950</v>
      </c>
      <c r="CO36" s="67">
        <f t="shared" si="73"/>
        <v>1358669</v>
      </c>
      <c r="CP36" s="67">
        <f t="shared" si="73"/>
        <v>2214619</v>
      </c>
      <c r="CQ36" s="67">
        <f t="shared" si="73"/>
        <v>2573852</v>
      </c>
      <c r="CR36" s="67">
        <f t="shared" si="73"/>
        <v>10898716</v>
      </c>
      <c r="CS36" s="67">
        <f t="shared" si="73"/>
        <v>13472568</v>
      </c>
      <c r="CT36" s="67">
        <f t="shared" ref="CT36:CV36" si="75">SUM(CT22:CT35)</f>
        <v>0</v>
      </c>
      <c r="CU36" s="67">
        <f t="shared" si="75"/>
        <v>0</v>
      </c>
      <c r="CV36" s="67">
        <f t="shared" si="75"/>
        <v>31512871</v>
      </c>
      <c r="CW36" s="67">
        <f t="shared" si="73"/>
        <v>1386847</v>
      </c>
      <c r="CX36" s="67">
        <f t="shared" si="73"/>
        <v>4253414</v>
      </c>
      <c r="CY36" s="67">
        <f t="shared" si="73"/>
        <v>5640261</v>
      </c>
    </row>
    <row r="37" spans="1:103" s="68" customFormat="1" x14ac:dyDescent="0.25">
      <c r="A37" s="64" t="s">
        <v>56</v>
      </c>
      <c r="B37" s="67">
        <f>B36+B20</f>
        <v>1403250</v>
      </c>
      <c r="C37" s="67">
        <f t="shared" ref="C37:BN37" si="76">C36+C20</f>
        <v>2051327</v>
      </c>
      <c r="D37" s="67">
        <f t="shared" si="76"/>
        <v>3454577</v>
      </c>
      <c r="E37" s="67">
        <f t="shared" si="76"/>
        <v>2054083</v>
      </c>
      <c r="F37" s="67">
        <f t="shared" si="76"/>
        <v>4455598</v>
      </c>
      <c r="G37" s="67">
        <f t="shared" si="76"/>
        <v>6509681</v>
      </c>
      <c r="H37" s="67">
        <f t="shared" si="76"/>
        <v>0</v>
      </c>
      <c r="I37" s="67">
        <f t="shared" si="76"/>
        <v>0</v>
      </c>
      <c r="J37" s="67">
        <f t="shared" si="76"/>
        <v>75443864</v>
      </c>
      <c r="K37" s="67">
        <f t="shared" si="76"/>
        <v>300000</v>
      </c>
      <c r="L37" s="67">
        <f t="shared" si="76"/>
        <v>13814175</v>
      </c>
      <c r="M37" s="67">
        <f t="shared" si="76"/>
        <v>14114175</v>
      </c>
      <c r="N37" s="67">
        <f t="shared" si="76"/>
        <v>38630832</v>
      </c>
      <c r="O37" s="67">
        <f t="shared" si="76"/>
        <v>139324137</v>
      </c>
      <c r="P37" s="67">
        <f t="shared" si="76"/>
        <v>177954969</v>
      </c>
      <c r="Q37" s="67">
        <f t="shared" si="76"/>
        <v>5543409</v>
      </c>
      <c r="R37" s="67">
        <f t="shared" si="76"/>
        <v>40345727</v>
      </c>
      <c r="S37" s="67">
        <f t="shared" si="76"/>
        <v>45889136</v>
      </c>
      <c r="T37" s="67">
        <f t="shared" si="76"/>
        <v>7583460</v>
      </c>
      <c r="U37" s="67">
        <f t="shared" si="76"/>
        <v>77231163</v>
      </c>
      <c r="V37" s="67">
        <f t="shared" si="76"/>
        <v>84814623</v>
      </c>
      <c r="W37" s="67">
        <f t="shared" si="76"/>
        <v>1585790</v>
      </c>
      <c r="X37" s="67">
        <f t="shared" si="76"/>
        <v>3552088</v>
      </c>
      <c r="Y37" s="67">
        <f t="shared" si="76"/>
        <v>5137878</v>
      </c>
      <c r="Z37" s="67">
        <f t="shared" si="76"/>
        <v>472827</v>
      </c>
      <c r="AA37" s="67">
        <f t="shared" si="76"/>
        <v>2222951</v>
      </c>
      <c r="AB37" s="67">
        <f t="shared" si="76"/>
        <v>2695778</v>
      </c>
      <c r="AC37" s="67">
        <f t="shared" si="76"/>
        <v>1978317</v>
      </c>
      <c r="AD37" s="67">
        <f t="shared" si="76"/>
        <v>254787</v>
      </c>
      <c r="AE37" s="67">
        <f t="shared" si="76"/>
        <v>2233104</v>
      </c>
      <c r="AF37" s="67">
        <f t="shared" si="76"/>
        <v>42878679.219999999</v>
      </c>
      <c r="AG37" s="67">
        <f t="shared" si="76"/>
        <v>61703465.199999996</v>
      </c>
      <c r="AH37" s="67">
        <f t="shared" si="76"/>
        <v>104582144.42000002</v>
      </c>
      <c r="AI37" s="67">
        <f t="shared" si="76"/>
        <v>7665826</v>
      </c>
      <c r="AJ37" s="67">
        <f t="shared" si="76"/>
        <v>34276035</v>
      </c>
      <c r="AK37" s="67">
        <f t="shared" si="76"/>
        <v>41941861</v>
      </c>
      <c r="AL37" s="67">
        <f t="shared" si="76"/>
        <v>7668970</v>
      </c>
      <c r="AM37" s="67">
        <f t="shared" si="76"/>
        <v>15080248</v>
      </c>
      <c r="AN37" s="67">
        <f t="shared" si="76"/>
        <v>22749218</v>
      </c>
      <c r="AO37" s="67">
        <f t="shared" si="76"/>
        <v>21792470</v>
      </c>
      <c r="AP37" s="67">
        <f t="shared" si="76"/>
        <v>82280772</v>
      </c>
      <c r="AQ37" s="67">
        <f t="shared" si="76"/>
        <v>104073242</v>
      </c>
      <c r="AR37" s="67">
        <f t="shared" si="76"/>
        <v>56204229</v>
      </c>
      <c r="AS37" s="67">
        <f t="shared" si="76"/>
        <v>183788774</v>
      </c>
      <c r="AT37" s="67">
        <f t="shared" si="76"/>
        <v>239993003</v>
      </c>
      <c r="AU37" s="67">
        <f t="shared" si="76"/>
        <v>18851321</v>
      </c>
      <c r="AV37" s="67">
        <f t="shared" si="76"/>
        <v>73232137</v>
      </c>
      <c r="AW37" s="67">
        <f t="shared" si="76"/>
        <v>92083458</v>
      </c>
      <c r="AX37" s="67">
        <f t="shared" si="76"/>
        <v>1702615</v>
      </c>
      <c r="AY37" s="67">
        <f t="shared" si="76"/>
        <v>4050977</v>
      </c>
      <c r="AZ37" s="67">
        <f t="shared" si="76"/>
        <v>5753592</v>
      </c>
      <c r="BA37" s="67">
        <f t="shared" si="76"/>
        <v>7097095</v>
      </c>
      <c r="BB37" s="67">
        <f t="shared" si="76"/>
        <v>16718300</v>
      </c>
      <c r="BC37" s="67">
        <f t="shared" si="76"/>
        <v>23815395</v>
      </c>
      <c r="BD37" s="67">
        <f t="shared" si="76"/>
        <v>2854083</v>
      </c>
      <c r="BE37" s="67">
        <f t="shared" si="76"/>
        <v>15802308</v>
      </c>
      <c r="BF37" s="67">
        <f t="shared" si="76"/>
        <v>18656391</v>
      </c>
      <c r="BG37" s="67">
        <f t="shared" si="76"/>
        <v>3104595</v>
      </c>
      <c r="BH37" s="67">
        <f t="shared" si="76"/>
        <v>6138086</v>
      </c>
      <c r="BI37" s="67">
        <f t="shared" si="76"/>
        <v>9242681</v>
      </c>
      <c r="BJ37" s="67">
        <f t="shared" si="76"/>
        <v>0</v>
      </c>
      <c r="BK37" s="67">
        <f t="shared" si="76"/>
        <v>0</v>
      </c>
      <c r="BL37" s="67">
        <f t="shared" si="76"/>
        <v>4201566</v>
      </c>
      <c r="BM37" s="67">
        <f t="shared" si="76"/>
        <v>196490698</v>
      </c>
      <c r="BN37" s="67">
        <f t="shared" si="76"/>
        <v>389170013</v>
      </c>
      <c r="BO37" s="67">
        <f t="shared" ref="BO37:CY37" si="77">BO36+BO20</f>
        <v>585660711</v>
      </c>
      <c r="BP37" s="67">
        <f t="shared" si="77"/>
        <v>0</v>
      </c>
      <c r="BQ37" s="67">
        <f t="shared" si="77"/>
        <v>0</v>
      </c>
      <c r="BR37" s="67">
        <f t="shared" si="77"/>
        <v>221161449</v>
      </c>
      <c r="BS37" s="67">
        <f t="shared" si="77"/>
        <v>1576720</v>
      </c>
      <c r="BT37" s="67">
        <f t="shared" si="77"/>
        <v>2681513</v>
      </c>
      <c r="BU37" s="67">
        <f t="shared" si="77"/>
        <v>4258233</v>
      </c>
      <c r="BV37" s="67">
        <f t="shared" si="77"/>
        <v>14506964</v>
      </c>
      <c r="BW37" s="67">
        <f t="shared" si="77"/>
        <v>86025464</v>
      </c>
      <c r="BX37" s="67">
        <f t="shared" si="77"/>
        <v>100532428</v>
      </c>
      <c r="BY37" s="67">
        <f t="shared" ref="BY37:CA37" si="78">BY36+BY20</f>
        <v>25118</v>
      </c>
      <c r="BZ37" s="67">
        <f t="shared" si="78"/>
        <v>64840</v>
      </c>
      <c r="CA37" s="67">
        <f t="shared" si="78"/>
        <v>89958</v>
      </c>
      <c r="CB37" s="67">
        <f t="shared" si="77"/>
        <v>0</v>
      </c>
      <c r="CC37" s="67">
        <f t="shared" si="77"/>
        <v>0</v>
      </c>
      <c r="CD37" s="67">
        <f t="shared" si="77"/>
        <v>14712550</v>
      </c>
      <c r="CE37" s="67">
        <f t="shared" si="77"/>
        <v>10790618</v>
      </c>
      <c r="CF37" s="67">
        <f t="shared" si="77"/>
        <v>43445192</v>
      </c>
      <c r="CG37" s="67">
        <f t="shared" si="77"/>
        <v>54235810</v>
      </c>
      <c r="CH37" s="67">
        <f t="shared" si="77"/>
        <v>14218301</v>
      </c>
      <c r="CI37" s="67">
        <f t="shared" si="77"/>
        <v>51831242</v>
      </c>
      <c r="CJ37" s="67">
        <f t="shared" si="77"/>
        <v>66049543</v>
      </c>
      <c r="CK37" s="67">
        <f t="shared" si="77"/>
        <v>13379740</v>
      </c>
      <c r="CL37" s="67">
        <f t="shared" si="77"/>
        <v>77708265</v>
      </c>
      <c r="CM37" s="67">
        <f t="shared" si="77"/>
        <v>91088005</v>
      </c>
      <c r="CN37" s="67">
        <f t="shared" si="77"/>
        <v>14314019</v>
      </c>
      <c r="CO37" s="67">
        <f t="shared" si="77"/>
        <v>22720962</v>
      </c>
      <c r="CP37" s="67">
        <f t="shared" si="77"/>
        <v>37034981</v>
      </c>
      <c r="CQ37" s="67">
        <f t="shared" si="77"/>
        <v>22236758</v>
      </c>
      <c r="CR37" s="67">
        <f t="shared" si="77"/>
        <v>94159340</v>
      </c>
      <c r="CS37" s="67">
        <f t="shared" si="77"/>
        <v>116396098</v>
      </c>
      <c r="CT37" s="67">
        <f t="shared" ref="CT37:CV37" si="79">CT36+CT20</f>
        <v>0</v>
      </c>
      <c r="CU37" s="67">
        <f t="shared" si="79"/>
        <v>0</v>
      </c>
      <c r="CV37" s="67">
        <f t="shared" si="79"/>
        <v>311148398</v>
      </c>
      <c r="CW37" s="67">
        <f t="shared" si="77"/>
        <v>6624736</v>
      </c>
      <c r="CX37" s="67">
        <f t="shared" si="77"/>
        <v>20317840</v>
      </c>
      <c r="CY37" s="67">
        <f t="shared" si="77"/>
        <v>26942576</v>
      </c>
    </row>
  </sheetData>
  <mergeCells count="35">
    <mergeCell ref="CQ3:CS3"/>
    <mergeCell ref="CW3:CY3"/>
    <mergeCell ref="BY3:CA3"/>
    <mergeCell ref="Q3:S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CT3:CV3"/>
    <mergeCell ref="CK3:CM3"/>
    <mergeCell ref="CN3:CP3"/>
    <mergeCell ref="CB3:CD3"/>
    <mergeCell ref="CE3:CG3"/>
    <mergeCell ref="CH3:CJ3"/>
    <mergeCell ref="AR3:AT3"/>
    <mergeCell ref="AU3:AW3"/>
    <mergeCell ref="AX3:AZ3"/>
    <mergeCell ref="BD3:BF3"/>
    <mergeCell ref="BG3:BI3"/>
    <mergeCell ref="BJ3:BL3"/>
    <mergeCell ref="BM3:BO3"/>
    <mergeCell ref="BP3:BR3"/>
    <mergeCell ref="BS3:BU3"/>
    <mergeCell ref="A3:A4"/>
    <mergeCell ref="BV3:BX3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2021-02-02T09:20:17Z</dcterms:modified>
</cp:coreProperties>
</file>